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005" windowHeight="11640" tabRatio="744" activeTab="0"/>
  </bookViews>
  <sheets>
    <sheet name="INPUT AND RESULTS" sheetId="1" r:id="rId1"/>
    <sheet name="Strength 1a" sheetId="2" r:id="rId2"/>
    <sheet name="Strength 1b" sheetId="3" r:id="rId3"/>
    <sheet name="Strength IV" sheetId="4" r:id="rId4"/>
    <sheet name="Load and Resistance Factors" sheetId="5" r:id="rId5"/>
    <sheet name="Updates" sheetId="6" r:id="rId6"/>
  </sheets>
  <definedNames>
    <definedName name="_xlnm.Print_Area" localSheetId="0">'INPUT AND RESULTS'!$A$1:$BQ$61</definedName>
    <definedName name="_xlnm.Print_Area" localSheetId="1">'Strength 1a'!$A$1:$BO$61</definedName>
    <definedName name="_xlnm.Print_Area" localSheetId="2">'Strength 1b'!$B$1:$BO$61</definedName>
    <definedName name="_xlnm.Print_Area" localSheetId="3">'Strength IV'!$A$1:$BO$61</definedName>
  </definedNames>
  <calcPr fullCalcOnLoad="1"/>
</workbook>
</file>

<file path=xl/comments1.xml><?xml version="1.0" encoding="utf-8"?>
<comments xmlns="http://schemas.openxmlformats.org/spreadsheetml/2006/main">
  <authors>
    <author>st986rh</author>
  </authors>
  <commentList>
    <comment ref="BV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W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X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Y6" authorId="0">
      <text>
        <r>
          <rPr>
            <b/>
            <sz val="8"/>
            <rFont val="Tahoma"/>
            <family val="0"/>
          </rPr>
          <t>Version 2.1</t>
        </r>
      </text>
    </comment>
    <comment ref="BZ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A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B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C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E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F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G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H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N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O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AJ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L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I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J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K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</commentList>
</comments>
</file>

<file path=xl/comments2.xml><?xml version="1.0" encoding="utf-8"?>
<comments xmlns="http://schemas.openxmlformats.org/spreadsheetml/2006/main">
  <authors>
    <author>st986rh</author>
  </authors>
  <commentList>
    <comment ref="BT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U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V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W6" authorId="0">
      <text>
        <r>
          <rPr>
            <b/>
            <sz val="8"/>
            <rFont val="Tahoma"/>
            <family val="0"/>
          </rPr>
          <t>Version 2.1</t>
        </r>
      </text>
    </comment>
    <comment ref="BX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Y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Z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A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C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D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E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F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J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G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H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I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</commentList>
</comments>
</file>

<file path=xl/comments3.xml><?xml version="1.0" encoding="utf-8"?>
<comments xmlns="http://schemas.openxmlformats.org/spreadsheetml/2006/main">
  <authors>
    <author>st986rh</author>
  </authors>
  <commentList>
    <comment ref="BT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U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V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W6" authorId="0">
      <text>
        <r>
          <rPr>
            <b/>
            <sz val="8"/>
            <rFont val="Tahoma"/>
            <family val="0"/>
          </rPr>
          <t>Version 2.1</t>
        </r>
      </text>
    </comment>
    <comment ref="BX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Y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Z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A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C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D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E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F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J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G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H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I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</commentList>
</comments>
</file>

<file path=xl/comments4.xml><?xml version="1.0" encoding="utf-8"?>
<comments xmlns="http://schemas.openxmlformats.org/spreadsheetml/2006/main">
  <authors>
    <author>st986rh</author>
  </authors>
  <commentList>
    <comment ref="BT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U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V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W6" authorId="0">
      <text>
        <r>
          <rPr>
            <b/>
            <sz val="8"/>
            <rFont val="Tahoma"/>
            <family val="0"/>
          </rPr>
          <t>Version 2.1</t>
        </r>
      </text>
    </comment>
    <comment ref="BX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BY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BZ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A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C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D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E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  <comment ref="CF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J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G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
</t>
        </r>
      </text>
    </comment>
    <comment ref="CH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Versioin 2.1</t>
        </r>
      </text>
    </comment>
    <comment ref="CI6" authorId="0">
      <text>
        <r>
          <rPr>
            <b/>
            <sz val="8"/>
            <rFont val="Tahoma"/>
            <family val="0"/>
          </rPr>
          <t>st986rh:</t>
        </r>
        <r>
          <rPr>
            <sz val="8"/>
            <rFont val="Tahoma"/>
            <family val="0"/>
          </rPr>
          <t xml:space="preserve">
Version 2.1</t>
        </r>
      </text>
    </comment>
  </commentList>
</comments>
</file>

<file path=xl/sharedStrings.xml><?xml version="1.0" encoding="utf-8"?>
<sst xmlns="http://schemas.openxmlformats.org/spreadsheetml/2006/main" count="1700" uniqueCount="304">
  <si>
    <t>-</t>
  </si>
  <si>
    <t>|</t>
  </si>
  <si>
    <t>*</t>
  </si>
  <si>
    <t>@u</t>
  </si>
  <si>
    <t xml:space="preserve"> @h</t>
  </si>
  <si>
    <t>Over-</t>
  </si>
  <si>
    <t>Bearing</t>
  </si>
  <si>
    <t xml:space="preserve">   *</t>
  </si>
  <si>
    <t>R</t>
  </si>
  <si>
    <t>TR</t>
  </si>
  <si>
    <t xml:space="preserve"> SR</t>
  </si>
  <si>
    <t>Ho</t>
  </si>
  <si>
    <t>D</t>
  </si>
  <si>
    <t>L</t>
  </si>
  <si>
    <t>turning</t>
  </si>
  <si>
    <t>Sliding</t>
  </si>
  <si>
    <t>[bf]</t>
  </si>
  <si>
    <t>c[bf]</t>
  </si>
  <si>
    <t>[fs]</t>
  </si>
  <si>
    <t>c[fs]</t>
  </si>
  <si>
    <t>u</t>
  </si>
  <si>
    <t>@</t>
  </si>
  <si>
    <t>q1</t>
  </si>
  <si>
    <t>q2</t>
  </si>
  <si>
    <t>qvb</t>
  </si>
  <si>
    <t>Kabh</t>
  </si>
  <si>
    <t>Kabs</t>
  </si>
  <si>
    <t>e</t>
  </si>
  <si>
    <t>L'</t>
  </si>
  <si>
    <t>Nc</t>
  </si>
  <si>
    <t>Ng</t>
  </si>
  <si>
    <t>A</t>
  </si>
  <si>
    <t>AA</t>
  </si>
  <si>
    <t xml:space="preserve"> IA</t>
  </si>
  <si>
    <t>(ft)</t>
  </si>
  <si>
    <t>(deg)</t>
  </si>
  <si>
    <t>(pcf)</t>
  </si>
  <si>
    <t>(psf)</t>
  </si>
  <si>
    <t>E/I</t>
  </si>
  <si>
    <t>ND</t>
  </si>
  <si>
    <t xml:space="preserve"> ND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</si>
  <si>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</si>
  <si>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</si>
  <si>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</si>
  <si>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</si>
  <si>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</si>
  <si>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</si>
  <si>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</si>
  <si>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</si>
  <si>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</si>
  <si>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</si>
  <si>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Note:</t>
  </si>
  <si>
    <t xml:space="preserve">   **</t>
  </si>
  <si>
    <t xml:space="preserve"> Note:</t>
  </si>
  <si>
    <t xml:space="preserve"> This spreadsheet does not analyze Global</t>
  </si>
  <si>
    <t xml:space="preserve"> Stability or Wall Settlement.</t>
  </si>
  <si>
    <t>b</t>
  </si>
  <si>
    <t>f</t>
  </si>
  <si>
    <t>δh</t>
  </si>
  <si>
    <r>
      <t>δ</t>
    </r>
    <r>
      <rPr>
        <sz val="10"/>
        <rFont val="Arial"/>
        <family val="0"/>
      </rPr>
      <t>hs</t>
    </r>
  </si>
  <si>
    <t xml:space="preserve">Ho       </t>
  </si>
  <si>
    <t xml:space="preserve"> </t>
  </si>
  <si>
    <t xml:space="preserve">*       </t>
  </si>
  <si>
    <t xml:space="preserve">D        </t>
  </si>
  <si>
    <t>Indicates required input</t>
  </si>
  <si>
    <t xml:space="preserve">L        </t>
  </si>
  <si>
    <t xml:space="preserve">c[fs]    </t>
  </si>
  <si>
    <t xml:space="preserve">γ[bf]    </t>
  </si>
  <si>
    <t xml:space="preserve">γ[fs]    </t>
  </si>
  <si>
    <t xml:space="preserve">γ[rf]    </t>
  </si>
  <si>
    <t xml:space="preserve">q1       </t>
  </si>
  <si>
    <t xml:space="preserve">q2       </t>
  </si>
  <si>
    <t xml:space="preserve">H       </t>
  </si>
  <si>
    <t xml:space="preserve">e        </t>
  </si>
  <si>
    <t xml:space="preserve">Ng       </t>
  </si>
  <si>
    <t xml:space="preserve">Kabs     </t>
  </si>
  <si>
    <t xml:space="preserve">Kabh     </t>
  </si>
  <si>
    <t>Backfill earth pressure coefficient when retained soil is horizontal</t>
  </si>
  <si>
    <t xml:space="preserve">Nc       </t>
  </si>
  <si>
    <t xml:space="preserve">qvb      </t>
  </si>
  <si>
    <t xml:space="preserve">Nq       </t>
  </si>
  <si>
    <t>H</t>
  </si>
  <si>
    <t>I</t>
  </si>
  <si>
    <t>CDR</t>
  </si>
  <si>
    <t>L/4</t>
  </si>
  <si>
    <t>Rv2</t>
  </si>
  <si>
    <t>e2</t>
  </si>
  <si>
    <t>Water</t>
  </si>
  <si>
    <t>CW</t>
  </si>
  <si>
    <t>d</t>
  </si>
  <si>
    <t>γ[rf]</t>
  </si>
  <si>
    <t>γ[bf]</t>
  </si>
  <si>
    <t>γ[fs]</t>
  </si>
  <si>
    <t>Eccen-</t>
  </si>
  <si>
    <t>tricity</t>
  </si>
  <si>
    <t>Disclaimer:  No Warranty, expressed or implied, is made by the author or the Florida Department of Transportation</t>
  </si>
  <si>
    <t xml:space="preserve">                   (FDOT) as to the accuracy and the functioning of this program or the results it produces; </t>
  </si>
  <si>
    <t xml:space="preserve">                   nor shall the fact of distribution constitute any such warranty, and no responsibility is assumed by</t>
  </si>
  <si>
    <t xml:space="preserve">                   the author or the FDOT in any connection therewith.</t>
  </si>
  <si>
    <t xml:space="preserve">              MSE WALL - LRFD External Stability Analysis</t>
  </si>
  <si>
    <t>page 1 of 2</t>
  </si>
  <si>
    <t>Ecentricity for calculating the reduced footing area</t>
  </si>
  <si>
    <t>Total factored vertical pressures = 1.35*W + 1.75*q1*L</t>
  </si>
  <si>
    <t xml:space="preserve">Cw  </t>
  </si>
  <si>
    <t>Cw = 0.5 for d =&lt; 0, Cw=1.0 for d =&gt; 1.5*L + D</t>
  </si>
  <si>
    <t>Ф</t>
  </si>
  <si>
    <t>Resistance factor for bearing resistance = 0.55</t>
  </si>
  <si>
    <t>Resitance</t>
  </si>
  <si>
    <t>Vertical Pressure at base of the structure(psf): qvb = Rv2 / L'</t>
  </si>
  <si>
    <t xml:space="preserve">    Overturning = Mr / Mo =&gt; 1.0</t>
  </si>
  <si>
    <t xml:space="preserve">    Eccentricity = e / (L/4) =&lt; 1.0</t>
  </si>
  <si>
    <t xml:space="preserve">    Sliding = Fr / Fd =&gt; 1.0</t>
  </si>
  <si>
    <t>Capacity-Demand Ratio for :</t>
  </si>
  <si>
    <t>Effective Foundation Width(feet): L'= L - 2*e2</t>
  </si>
  <si>
    <t>&gt; = 1</t>
  </si>
  <si>
    <t>&lt; = 1</t>
  </si>
  <si>
    <t>Nq</t>
  </si>
  <si>
    <r>
      <t>Cohesion Bearing Resistance Factor : Nc = (Nq-1)cot(</t>
    </r>
    <r>
      <rPr>
        <sz val="10"/>
        <rFont val="Euclid Symbol"/>
        <family val="1"/>
      </rPr>
      <t>f</t>
    </r>
    <r>
      <rPr>
        <sz val="10"/>
        <rFont val="Arial"/>
        <family val="0"/>
      </rPr>
      <t>) if f&gt;0; for f=0 Nc=5.14</t>
    </r>
  </si>
  <si>
    <r>
      <t>f</t>
    </r>
    <r>
      <rPr>
        <sz val="10"/>
        <rFont val="Arial"/>
        <family val="0"/>
      </rPr>
      <t xml:space="preserve">u        </t>
    </r>
  </si>
  <si>
    <r>
      <t>Footing Width Bearing Resistance Factor : Ng = 2*(Nq+1)*tan(</t>
    </r>
    <r>
      <rPr>
        <sz val="10"/>
        <rFont val="Euclid Symbol"/>
        <family val="1"/>
      </rPr>
      <t>f</t>
    </r>
    <r>
      <rPr>
        <sz val="10"/>
        <rFont val="Arial"/>
        <family val="0"/>
      </rPr>
      <t>)</t>
    </r>
  </si>
  <si>
    <r>
      <t>Embedment Bearing Resistance Factor : Nq = [e^PI*tan(</t>
    </r>
    <r>
      <rPr>
        <sz val="10"/>
        <rFont val="Euclid Symbol"/>
        <family val="1"/>
      </rPr>
      <t>f</t>
    </r>
    <r>
      <rPr>
        <sz val="10"/>
        <rFont val="Arial"/>
        <family val="0"/>
      </rPr>
      <t>)]*N(</t>
    </r>
    <r>
      <rPr>
        <sz val="10"/>
        <rFont val="Euclid Symbol"/>
        <family val="1"/>
      </rPr>
      <t>f</t>
    </r>
    <r>
      <rPr>
        <sz val="10"/>
        <rFont val="Arial"/>
        <family val="0"/>
      </rPr>
      <t>); N(</t>
    </r>
    <r>
      <rPr>
        <sz val="10"/>
        <rFont val="Euclid Symbol"/>
        <family val="1"/>
      </rPr>
      <t>f</t>
    </r>
    <r>
      <rPr>
        <sz val="10"/>
        <rFont val="Arial"/>
        <family val="0"/>
      </rPr>
      <t xml:space="preserve">)=tan^2(PI/4 + </t>
    </r>
    <r>
      <rPr>
        <sz val="10"/>
        <rFont val="Euclid Symbol"/>
        <family val="1"/>
      </rPr>
      <t>f</t>
    </r>
    <r>
      <rPr>
        <sz val="10"/>
        <rFont val="Arial"/>
        <family val="0"/>
      </rPr>
      <t>/2)</t>
    </r>
  </si>
  <si>
    <r>
      <t>f</t>
    </r>
    <r>
      <rPr>
        <sz val="10"/>
        <rFont val="Arial"/>
        <family val="0"/>
      </rPr>
      <t xml:space="preserve">[bf]  </t>
    </r>
  </si>
  <si>
    <r>
      <t>f</t>
    </r>
    <r>
      <rPr>
        <sz val="10"/>
        <rFont val="Arial"/>
        <family val="0"/>
      </rPr>
      <t xml:space="preserve">[fs]  </t>
    </r>
  </si>
  <si>
    <t>qr</t>
  </si>
  <si>
    <t xml:space="preserve">Factored bearing resistance </t>
  </si>
  <si>
    <t>qr2</t>
  </si>
  <si>
    <t>qr1</t>
  </si>
  <si>
    <t>Yes</t>
  </si>
  <si>
    <t>No</t>
  </si>
  <si>
    <t>Kabs2</t>
  </si>
  <si>
    <t>δhs2</t>
  </si>
  <si>
    <t>to top</t>
  </si>
  <si>
    <t xml:space="preserve">of </t>
  </si>
  <si>
    <t>slope</t>
  </si>
  <si>
    <t>Height</t>
  </si>
  <si>
    <t>"y" (ft)</t>
  </si>
  <si>
    <t>Angle</t>
  </si>
  <si>
    <t xml:space="preserve">used in </t>
  </si>
  <si>
    <t>calculation</t>
  </si>
  <si>
    <t>for drop</t>
  </si>
  <si>
    <t>down</t>
  </si>
  <si>
    <t>menus</t>
  </si>
  <si>
    <t>Lists</t>
  </si>
  <si>
    <t>Cos</t>
  </si>
  <si>
    <t>beta</t>
  </si>
  <si>
    <t>phi</t>
  </si>
  <si>
    <t>"i"</t>
  </si>
  <si>
    <t>Angles used in Ka calculation</t>
  </si>
  <si>
    <r>
      <t>Cos</t>
    </r>
    <r>
      <rPr>
        <vertAlign val="superscript"/>
        <sz val="10"/>
        <rFont val="Arial"/>
        <family val="2"/>
      </rPr>
      <t>2</t>
    </r>
  </si>
  <si>
    <t>(1)</t>
  </si>
  <si>
    <t>(2)</t>
  </si>
  <si>
    <t>(3)</t>
  </si>
  <si>
    <t>(4)</t>
  </si>
  <si>
    <t>(5)</t>
  </si>
  <si>
    <t>SQRT of</t>
  </si>
  <si>
    <t>(2) - (3)</t>
  </si>
  <si>
    <t>(1) * (BR/BS)</t>
  </si>
  <si>
    <t>Ka for broken-back slopes with "x" less than 2H</t>
  </si>
  <si>
    <t>"i" (deg)</t>
  </si>
  <si>
    <t>(lbs/ft)</t>
  </si>
  <si>
    <t>Ft</t>
  </si>
  <si>
    <t>Fh</t>
  </si>
  <si>
    <t>Fv</t>
  </si>
  <si>
    <t>h</t>
  </si>
  <si>
    <t>Group</t>
  </si>
  <si>
    <t xml:space="preserve">Earth </t>
  </si>
  <si>
    <t>Vertical</t>
  </si>
  <si>
    <t>Live Load</t>
  </si>
  <si>
    <t>Surcharge</t>
  </si>
  <si>
    <t>Lsv</t>
  </si>
  <si>
    <t>Horizontal</t>
  </si>
  <si>
    <t>Lsh</t>
  </si>
  <si>
    <t>Earth</t>
  </si>
  <si>
    <t>Ev</t>
  </si>
  <si>
    <t>Eh</t>
  </si>
  <si>
    <t>S-1-a</t>
  </si>
  <si>
    <t>S-1-b</t>
  </si>
  <si>
    <t>S-IV</t>
  </si>
  <si>
    <t>W1</t>
  </si>
  <si>
    <t>W2</t>
  </si>
  <si>
    <t>W3</t>
  </si>
  <si>
    <t>qt</t>
  </si>
  <si>
    <t>qv</t>
  </si>
  <si>
    <t>qh</t>
  </si>
  <si>
    <r>
      <t>Sin</t>
    </r>
    <r>
      <rPr>
        <sz val="10"/>
        <rFont val="Symbol"/>
        <family val="1"/>
      </rPr>
      <t xml:space="preserve"> b</t>
    </r>
  </si>
  <si>
    <r>
      <t>Cos</t>
    </r>
    <r>
      <rPr>
        <sz val="10"/>
        <rFont val="Symbol"/>
        <family val="1"/>
      </rPr>
      <t xml:space="preserve"> b</t>
    </r>
  </si>
  <si>
    <t>Sin</t>
  </si>
  <si>
    <t>i</t>
  </si>
  <si>
    <t>Mr</t>
  </si>
  <si>
    <t>(lbs-ft/ft)</t>
  </si>
  <si>
    <t>Factored Vertical forces</t>
  </si>
  <si>
    <t>Mo</t>
  </si>
  <si>
    <t>Factored Horiz.</t>
  </si>
  <si>
    <t>qL</t>
  </si>
  <si>
    <t>Fd</t>
  </si>
  <si>
    <t>Fr</t>
  </si>
  <si>
    <t>Resistance Factor for Sliding</t>
  </si>
  <si>
    <t>Resistance Factor for Bearing</t>
  </si>
  <si>
    <t>Forces (earth)</t>
  </si>
  <si>
    <t>Forces (Surchg)</t>
  </si>
  <si>
    <t>(1) - CA</t>
  </si>
  <si>
    <t>"Ka-beta"</t>
  </si>
  <si>
    <t>"Ka-i"</t>
  </si>
  <si>
    <t>Ka for broken-back slopes with "x" larger than 2H</t>
  </si>
  <si>
    <t>(5) - (3)</t>
  </si>
  <si>
    <t>(4) - CE</t>
  </si>
  <si>
    <t>(1) + CA</t>
  </si>
  <si>
    <t>(4) + CE</t>
  </si>
  <si>
    <t>Rv</t>
  </si>
  <si>
    <t>Include overburden term in Factored Bearing Capacity (i.e. "qr") Calculation?</t>
  </si>
  <si>
    <t>Column1</t>
  </si>
  <si>
    <t>Load Factors</t>
  </si>
  <si>
    <t xml:space="preserve">Kabs2  </t>
  </si>
  <si>
    <t>Backfill earth pressure coefficient for broken back slopes</t>
  </si>
  <si>
    <r>
      <t xml:space="preserve">Backfill earth pressure coefficient when retained soil is at slope 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(infinite slope)</t>
    </r>
  </si>
  <si>
    <r>
      <t>e</t>
    </r>
    <r>
      <rPr>
        <vertAlign val="subscript"/>
        <sz val="10"/>
        <rFont val="Arial"/>
        <family val="2"/>
      </rPr>
      <t>2</t>
    </r>
  </si>
  <si>
    <t>a</t>
  </si>
  <si>
    <t>l</t>
  </si>
  <si>
    <t>Horizontal distance from the back of the wall to the top of the slope (for broken-back slopes) (feet)</t>
  </si>
  <si>
    <r>
      <t>Mr</t>
    </r>
    <r>
      <rPr>
        <vertAlign val="subscript"/>
        <sz val="10"/>
        <rFont val="Arial"/>
        <family val="2"/>
      </rPr>
      <t>2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</si>
  <si>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v</t>
    </r>
  </si>
  <si>
    <t>Wall Height H = Ho + D</t>
  </si>
  <si>
    <t>Wall Embeddment Depth (feet)</t>
  </si>
  <si>
    <t>Wall Height above ground (feet)</t>
  </si>
  <si>
    <t>Reinforcing Strap Length (feet)</t>
  </si>
  <si>
    <t>Slope of backfill soil (degrees)</t>
  </si>
  <si>
    <r>
      <t xml:space="preserve">    Bearing Resistance = qr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/ q</t>
    </r>
    <r>
      <rPr>
        <sz val="8"/>
        <rFont val="Arial"/>
        <family val="2"/>
      </rPr>
      <t xml:space="preserve">vb </t>
    </r>
    <r>
      <rPr>
        <sz val="10"/>
        <rFont val="Arial"/>
        <family val="2"/>
      </rPr>
      <t>=&gt; 1.0</t>
    </r>
  </si>
  <si>
    <r>
      <t>Use</t>
    </r>
    <r>
      <rPr>
        <b/>
        <sz val="10"/>
        <rFont val="Symbol"/>
        <family val="1"/>
      </rPr>
      <t xml:space="preserve"> l</t>
    </r>
    <r>
      <rPr>
        <b/>
        <sz val="10"/>
        <rFont val="Arial"/>
        <family val="0"/>
      </rPr>
      <t xml:space="preserve"> &gt;= 2*H when modeling infinite slopes</t>
    </r>
  </si>
  <si>
    <t>Water depth below base of leveling pad (feet)</t>
  </si>
  <si>
    <t>Backfill soil unit weight (pounds per cubic foot)</t>
  </si>
  <si>
    <t>Backfill soil angle of internal friction (degrees)</t>
  </si>
  <si>
    <t>Foundation Soil unit weight (pounds per cubic foot)</t>
  </si>
  <si>
    <t>Foundation Soil angle of internal friction (degrees)</t>
  </si>
  <si>
    <t>Foundation Soil cohesion (pounds per square foot)</t>
  </si>
  <si>
    <t xml:space="preserve">Base Angle of Internal Friction (degrees) (Sliding) </t>
  </si>
  <si>
    <r>
      <t>h = Wall height for backfill stress calculations (H+Ltan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for infinite slopes and H+</t>
    </r>
    <r>
      <rPr>
        <sz val="10"/>
        <rFont val="Symbol"/>
        <family val="1"/>
      </rPr>
      <t>l</t>
    </r>
    <r>
      <rPr>
        <sz val="10"/>
        <rFont val="Arial"/>
        <family val="0"/>
      </rPr>
      <t>Tan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for broken back slopes with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&lt; 2*H) (ft)</t>
    </r>
  </si>
  <si>
    <r>
      <t>W</t>
    </r>
    <r>
      <rPr>
        <vertAlign val="subscript"/>
        <sz val="10"/>
        <rFont val="Arial"/>
        <family val="2"/>
      </rPr>
      <t>1</t>
    </r>
  </si>
  <si>
    <r>
      <t>W</t>
    </r>
    <r>
      <rPr>
        <vertAlign val="subscript"/>
        <sz val="10"/>
        <rFont val="Arial"/>
        <family val="2"/>
      </rPr>
      <t>2</t>
    </r>
  </si>
  <si>
    <r>
      <t>W</t>
    </r>
    <r>
      <rPr>
        <vertAlign val="subscript"/>
        <sz val="10"/>
        <rFont val="Arial"/>
        <family val="2"/>
      </rPr>
      <t>3</t>
    </r>
  </si>
  <si>
    <t>Reinforced fill unit weight (pounds per cubic foot)</t>
  </si>
  <si>
    <r>
      <t xml:space="preserve">Reinforced fill weight </t>
    </r>
    <r>
      <rPr>
        <sz val="10"/>
        <rFont val="Arial"/>
        <family val="0"/>
      </rPr>
      <t>(lbs/ft)</t>
    </r>
  </si>
  <si>
    <r>
      <t xml:space="preserve">Sloped backfill weight over reinforced area </t>
    </r>
    <r>
      <rPr>
        <sz val="10"/>
        <rFont val="Arial"/>
        <family val="0"/>
      </rPr>
      <t>(lbs/ft)</t>
    </r>
  </si>
  <si>
    <t>Flat backfill weight over reinforced area (lbs/ft)</t>
  </si>
  <si>
    <t>Surcharge vertical force over reinforced area (lbs/ft)</t>
  </si>
  <si>
    <t>Resultant earth pressure inclination (deg)</t>
  </si>
  <si>
    <t>Total resultant horizontal backfill force (lbs/ft)</t>
  </si>
  <si>
    <r>
      <t>Total resultant horizontal surcharge force (q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 (lbs/ft)</t>
    </r>
  </si>
  <si>
    <t>Driving force (Sum of factored horizontal components of total horizontal foces) (lbs/ft)</t>
  </si>
  <si>
    <r>
      <t xml:space="preserve">Resisting foce (Sum of factored resisting foces * Tan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>) (lbs/ft)</t>
    </r>
  </si>
  <si>
    <r>
      <t>Rv</t>
    </r>
    <r>
      <rPr>
        <vertAlign val="subscript"/>
        <sz val="10"/>
        <rFont val="Arial"/>
        <family val="2"/>
      </rPr>
      <t>2</t>
    </r>
  </si>
  <si>
    <t>Sum of Overturning Moments(lbs-ft/ft)</t>
  </si>
  <si>
    <t>Sum of Resisting Moments without live load (lbs-ft/ft)</t>
  </si>
  <si>
    <r>
      <t>Sum of Resisting Moments including live load - used in calculation of 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for bearing CDR (lbs-ft/ft)</t>
    </r>
  </si>
  <si>
    <t>Sum of factored vertical forces acting within reingorced soil mass including live load - used in calculation of qvb for bearing CDR (lbs/ft)</t>
  </si>
  <si>
    <r>
      <t>Effective foundation width (feet): L'= L - 2*e</t>
    </r>
    <r>
      <rPr>
        <vertAlign val="subscript"/>
        <sz val="10"/>
        <rFont val="Arial"/>
        <family val="2"/>
      </rPr>
      <t>2</t>
    </r>
  </si>
  <si>
    <r>
      <t>Mo</t>
    </r>
    <r>
      <rPr>
        <vertAlign val="subscript"/>
        <sz val="10"/>
        <rFont val="Arial"/>
        <family val="2"/>
      </rPr>
      <t>2</t>
    </r>
  </si>
  <si>
    <t>Sum of factored vertical forces acting within reingorced soil mass without live load (q1L) used in sliding CDR calculation (lbs/ft)</t>
  </si>
  <si>
    <t>Sum of Overturning Moments from case S-1-b (lbs-ft/ft)</t>
  </si>
  <si>
    <r>
      <t>q</t>
    </r>
    <r>
      <rPr>
        <vertAlign val="subscript"/>
        <sz val="10"/>
        <rFont val="Arial"/>
        <family val="2"/>
      </rPr>
      <t>1V</t>
    </r>
  </si>
  <si>
    <t>MSE WALL - LRFD External Stability Analysis</t>
  </si>
  <si>
    <t>Page 2/2</t>
  </si>
  <si>
    <r>
      <t xml:space="preserve">Surcharge load over reinforced soil mass (pounds per square foot) - </t>
    </r>
    <r>
      <rPr>
        <sz val="10"/>
        <rFont val="Arial"/>
        <family val="2"/>
      </rPr>
      <t>Should be zero when modeling infinite slopes</t>
    </r>
  </si>
  <si>
    <r>
      <t xml:space="preserve">Surcharge load behind reinforced soil mass (pounds per square foot) - </t>
    </r>
    <r>
      <rPr>
        <sz val="10"/>
        <rFont val="Arial"/>
        <family val="2"/>
      </rPr>
      <t>Should be zero when modeling infinite slopes</t>
    </r>
  </si>
  <si>
    <t>Strength IV</t>
  </si>
  <si>
    <t>(4) * (CH/CI)</t>
  </si>
  <si>
    <t>Eccentricity {L/2 - [(Mr-Mo)/Rv]} (ft) [for overturning]</t>
  </si>
  <si>
    <r>
      <t>Eccentricity {L/2 - [(Mr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-Mo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)/Rv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]} (ft) [for bearing stress calculation]</t>
    </r>
  </si>
  <si>
    <t xml:space="preserve">Resistance Factors </t>
  </si>
  <si>
    <t>Notes:</t>
  </si>
  <si>
    <t>1. When comparing variables between the drawings and the output table use the following equalities:</t>
  </si>
  <si>
    <t>Item</t>
  </si>
  <si>
    <t>Drawings</t>
  </si>
  <si>
    <t>Table</t>
  </si>
  <si>
    <t>Traffic Surcharge</t>
  </si>
  <si>
    <t xml:space="preserve">s </t>
  </si>
  <si>
    <t>q</t>
  </si>
  <si>
    <t>Surcharge force</t>
  </si>
  <si>
    <t>F1</t>
  </si>
  <si>
    <t>Geostatic force</t>
  </si>
  <si>
    <t>F2</t>
  </si>
  <si>
    <r>
      <t>2. When present, traffic surcharge 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acts over the reinforced soil mass and is used in case 1, </t>
    </r>
  </si>
  <si>
    <t xml:space="preserve">    that is in the calculation of CDR for Bearing Resistance</t>
  </si>
  <si>
    <r>
      <t>3. When present, traffic surcharge 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acts behind the reinforced soil mass and is used in all </t>
    </r>
  </si>
  <si>
    <t xml:space="preserve">    CDR calculations</t>
  </si>
  <si>
    <r>
      <t xml:space="preserve">4. For infinite slopes (i.e.,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&gt;= 2*H) </t>
    </r>
    <r>
      <rPr>
        <sz val="10"/>
        <rFont val="Arial"/>
        <family val="2"/>
      </rPr>
      <t>I</t>
    </r>
    <r>
      <rPr>
        <sz val="10"/>
        <rFont val="Arial"/>
        <family val="0"/>
      </rPr>
      <t xml:space="preserve"> =</t>
    </r>
    <r>
      <rPr>
        <sz val="10"/>
        <rFont val="Symbol"/>
        <family val="1"/>
      </rPr>
      <t>b</t>
    </r>
    <r>
      <rPr>
        <sz val="10"/>
        <rFont val="Arial"/>
        <family val="0"/>
      </rPr>
      <t xml:space="preserve"> in Ka calculation</t>
    </r>
  </si>
  <si>
    <t>.</t>
  </si>
  <si>
    <t>Strength I-b</t>
  </si>
  <si>
    <t>Strength I-a</t>
  </si>
  <si>
    <t>Minimum</t>
  </si>
  <si>
    <t>Length</t>
  </si>
  <si>
    <t>Requirement</t>
  </si>
  <si>
    <t>Reinforcement</t>
  </si>
  <si>
    <t>version 2.5.1</t>
  </si>
  <si>
    <t>MSE WALL - LRFD External Stability Analysis - Version 2.5.1</t>
  </si>
  <si>
    <t>Version</t>
  </si>
  <si>
    <t>Comments</t>
  </si>
  <si>
    <t>2.5.1</t>
  </si>
  <si>
    <t>Original (AASHTO 2006)</t>
  </si>
  <si>
    <t>Input &amp; Results Worksheet - Updated cell on factored bearing resistance "qr"</t>
  </si>
  <si>
    <t>(0.55 as per FDOT)</t>
  </si>
  <si>
    <t>Minimum Factored bearing resistance including footing embedment (i.e. overburden) term (qNq)</t>
  </si>
  <si>
    <r>
      <t>Maximum Vertical Pressure at base of the structure (psf): qvb = Rv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/ L'</t>
    </r>
  </si>
  <si>
    <t>Included analysis for broken back configurations</t>
  </si>
  <si>
    <t>Updated resistance factor for sliding to reflect AASHTO 6th Edition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</si>
</sst>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0_)"/>
    <numFmt numFmtId="167" formatCode="0.000_)"/>
    <numFmt numFmtId="168" formatCode="0.0"/>
    <numFmt numFmtId="169" formatCode="0.00000"/>
    <numFmt numFmtId="170" formatCode="0.0000"/>
    <numFmt numFmtId="171" formatCode="0.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_)"/>
  </numFmts>
  <fonts count="67">
    <font>
      <sz val="10"/>
      <name val="Arial"/>
      <family val="0"/>
    </font>
    <font>
      <sz val="12"/>
      <color indexed="12"/>
      <name val="Arial"/>
      <family val="0"/>
    </font>
    <font>
      <sz val="10"/>
      <name val="Symbol"/>
      <family val="1"/>
    </font>
    <font>
      <sz val="10"/>
      <name val="Euclid Symbol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color indexed="48"/>
      <name val="Arial"/>
      <family val="0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perscript"/>
      <sz val="10"/>
      <name val="Arial"/>
      <family val="2"/>
    </font>
    <font>
      <sz val="10"/>
      <color indexed="9"/>
      <name val="Arial"/>
      <family val="0"/>
    </font>
    <font>
      <b/>
      <sz val="10"/>
      <name val="Symbol"/>
      <family val="1"/>
    </font>
    <font>
      <sz val="12"/>
      <name val="Symbol"/>
      <family val="1"/>
    </font>
    <font>
      <u val="single"/>
      <sz val="10"/>
      <name val="Arial"/>
      <family val="0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vertAlign val="subscript"/>
      <sz val="8"/>
      <color indexed="8"/>
      <name val="Arial"/>
      <family val="0"/>
    </font>
    <font>
      <sz val="10"/>
      <color indexed="8"/>
      <name val="Symbol"/>
      <family val="0"/>
    </font>
    <font>
      <sz val="9"/>
      <color indexed="8"/>
      <name val="Arial"/>
      <family val="0"/>
    </font>
    <font>
      <vertAlign val="subscript"/>
      <sz val="9"/>
      <color indexed="8"/>
      <name val="Arial"/>
      <family val="0"/>
    </font>
    <font>
      <sz val="9"/>
      <color indexed="8"/>
      <name val="Symbo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4" fontId="7" fillId="0" borderId="10" xfId="0" applyNumberFormat="1" applyFont="1" applyBorder="1" applyAlignment="1" applyProtection="1">
      <alignment horizontal="right"/>
      <protection/>
    </xf>
    <xf numFmtId="166" fontId="7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 horizontal="right"/>
      <protection/>
    </xf>
    <xf numFmtId="164" fontId="7" fillId="0" borderId="12" xfId="0" applyNumberFormat="1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right"/>
      <protection/>
    </xf>
    <xf numFmtId="166" fontId="5" fillId="0" borderId="11" xfId="0" applyNumberFormat="1" applyFont="1" applyBorder="1" applyAlignment="1" applyProtection="1">
      <alignment/>
      <protection/>
    </xf>
    <xf numFmtId="168" fontId="5" fillId="0" borderId="1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8" fontId="0" fillId="33" borderId="0" xfId="0" applyNumberFormat="1" applyFont="1" applyFill="1" applyBorder="1" applyAlignment="1" applyProtection="1">
      <alignment/>
      <protection/>
    </xf>
    <xf numFmtId="168" fontId="10" fillId="33" borderId="0" xfId="0" applyNumberFormat="1" applyFont="1" applyFill="1" applyBorder="1" applyAlignment="1" applyProtection="1">
      <alignment horizontal="center"/>
      <protection/>
    </xf>
    <xf numFmtId="168" fontId="0" fillId="33" borderId="0" xfId="0" applyNumberFormat="1" applyFont="1" applyFill="1" applyBorder="1" applyAlignment="1" applyProtection="1">
      <alignment horizontal="center"/>
      <protection/>
    </xf>
    <xf numFmtId="168" fontId="0" fillId="33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4" fillId="0" borderId="14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166" fontId="7" fillId="0" borderId="11" xfId="0" applyNumberFormat="1" applyFont="1" applyBorder="1" applyAlignment="1" applyProtection="1">
      <alignment horizontal="center"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6" fontId="7" fillId="0" borderId="16" xfId="0" applyNumberFormat="1" applyFont="1" applyBorder="1" applyAlignment="1" applyProtection="1">
      <alignment horizontal="center"/>
      <protection/>
    </xf>
    <xf numFmtId="165" fontId="7" fillId="0" borderId="11" xfId="0" applyNumberFormat="1" applyFont="1" applyBorder="1" applyAlignment="1" applyProtection="1">
      <alignment horizontal="center"/>
      <protection/>
    </xf>
    <xf numFmtId="167" fontId="7" fillId="0" borderId="11" xfId="0" applyNumberFormat="1" applyFont="1" applyBorder="1" applyAlignment="1" applyProtection="1">
      <alignment horizontal="right"/>
      <protection/>
    </xf>
    <xf numFmtId="165" fontId="7" fillId="0" borderId="11" xfId="0" applyNumberFormat="1" applyFont="1" applyBorder="1" applyAlignment="1" applyProtection="1">
      <alignment horizontal="center"/>
      <protection/>
    </xf>
    <xf numFmtId="167" fontId="7" fillId="0" borderId="11" xfId="0" applyNumberFormat="1" applyFont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 horizontal="center"/>
      <protection/>
    </xf>
    <xf numFmtId="166" fontId="7" fillId="0" borderId="11" xfId="0" applyNumberFormat="1" applyFont="1" applyBorder="1" applyAlignment="1" applyProtection="1">
      <alignment horizontal="center"/>
      <protection/>
    </xf>
    <xf numFmtId="167" fontId="7" fillId="0" borderId="11" xfId="0" applyNumberFormat="1" applyFont="1" applyBorder="1" applyAlignment="1" applyProtection="1">
      <alignment horizontal="center"/>
      <protection/>
    </xf>
    <xf numFmtId="168" fontId="5" fillId="0" borderId="11" xfId="0" applyNumberFormat="1" applyFont="1" applyBorder="1" applyAlignment="1" applyProtection="1">
      <alignment horizontal="center"/>
      <protection/>
    </xf>
    <xf numFmtId="166" fontId="5" fillId="0" borderId="11" xfId="0" applyNumberFormat="1" applyFont="1" applyBorder="1" applyAlignment="1" applyProtection="1">
      <alignment horizontal="center"/>
      <protection/>
    </xf>
    <xf numFmtId="165" fontId="7" fillId="0" borderId="11" xfId="0" applyNumberFormat="1" applyFont="1" applyBorder="1" applyAlignment="1" applyProtection="1" quotePrefix="1">
      <alignment horizontal="center"/>
      <protection/>
    </xf>
    <xf numFmtId="0" fontId="0" fillId="0" borderId="18" xfId="0" applyBorder="1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0" fillId="0" borderId="10" xfId="0" applyBorder="1" applyAlignment="1" applyProtection="1">
      <alignment horizontal="right"/>
      <protection/>
    </xf>
    <xf numFmtId="168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68" fontId="1" fillId="33" borderId="11" xfId="0" applyNumberFormat="1" applyFont="1" applyFill="1" applyBorder="1" applyAlignment="1" applyProtection="1">
      <alignment horizontal="center"/>
      <protection/>
    </xf>
    <xf numFmtId="165" fontId="5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2" fontId="13" fillId="0" borderId="11" xfId="0" applyNumberFormat="1" applyFont="1" applyFill="1" applyBorder="1" applyAlignment="1" applyProtection="1">
      <alignment horizontal="center"/>
      <protection/>
    </xf>
    <xf numFmtId="168" fontId="5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 applyProtection="1">
      <alignment/>
      <protection/>
    </xf>
    <xf numFmtId="168" fontId="6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4" fillId="0" borderId="19" xfId="0" applyFont="1" applyFill="1" applyBorder="1" applyAlignment="1" applyProtection="1">
      <alignment horizontal="left"/>
      <protection/>
    </xf>
    <xf numFmtId="168" fontId="5" fillId="0" borderId="20" xfId="0" applyNumberFormat="1" applyFont="1" applyFill="1" applyBorder="1" applyAlignment="1" applyProtection="1">
      <alignment/>
      <protection/>
    </xf>
    <xf numFmtId="168" fontId="7" fillId="0" borderId="20" xfId="0" applyNumberFormat="1" applyFont="1" applyFill="1" applyBorder="1" applyAlignment="1" applyProtection="1">
      <alignment/>
      <protection/>
    </xf>
    <xf numFmtId="168" fontId="1" fillId="33" borderId="21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/>
    </xf>
    <xf numFmtId="168" fontId="0" fillId="33" borderId="0" xfId="0" applyNumberForma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168" fontId="5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" fontId="0" fillId="0" borderId="18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" fontId="20" fillId="0" borderId="0" xfId="0" applyNumberFormat="1" applyFont="1" applyBorder="1" applyAlignment="1" applyProtection="1">
      <alignment horizontal="left"/>
      <protection/>
    </xf>
    <xf numFmtId="1" fontId="0" fillId="0" borderId="0" xfId="0" applyNumberFormat="1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8" fontId="0" fillId="0" borderId="0" xfId="0" applyNumberFormat="1" applyAlignment="1" applyProtection="1">
      <alignment horizontal="fill"/>
      <protection/>
    </xf>
    <xf numFmtId="0" fontId="0" fillId="0" borderId="0" xfId="0" applyNumberFormat="1" applyAlignment="1" applyProtection="1">
      <alignment horizontal="fill"/>
      <protection/>
    </xf>
    <xf numFmtId="2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 applyProtection="1">
      <alignment/>
      <protection/>
    </xf>
    <xf numFmtId="168" fontId="11" fillId="0" borderId="0" xfId="0" applyNumberFormat="1" applyFont="1" applyAlignment="1" applyProtection="1">
      <alignment/>
      <protection/>
    </xf>
    <xf numFmtId="168" fontId="12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0" fillId="0" borderId="13" xfId="0" applyNumberFormat="1" applyBorder="1" applyAlignment="1" applyProtection="1">
      <alignment/>
      <protection/>
    </xf>
    <xf numFmtId="168" fontId="0" fillId="0" borderId="18" xfId="0" applyNumberFormat="1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2" fontId="0" fillId="0" borderId="18" xfId="0" applyNumberFormat="1" applyFill="1" applyBorder="1" applyAlignment="1" applyProtection="1">
      <alignment horizontal="center"/>
      <protection/>
    </xf>
    <xf numFmtId="168" fontId="0" fillId="0" borderId="10" xfId="0" applyNumberFormat="1" applyFon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68" fontId="0" fillId="0" borderId="10" xfId="0" applyNumberFormat="1" applyFill="1" applyBorder="1" applyAlignment="1" applyProtection="1">
      <alignment horizontal="center"/>
      <protection/>
    </xf>
    <xf numFmtId="168" fontId="0" fillId="0" borderId="12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/>
      <protection/>
    </xf>
    <xf numFmtId="166" fontId="5" fillId="0" borderId="20" xfId="0" applyNumberFormat="1" applyFont="1" applyFill="1" applyBorder="1" applyAlignment="1" applyProtection="1">
      <alignment/>
      <protection/>
    </xf>
    <xf numFmtId="166" fontId="5" fillId="0" borderId="20" xfId="0" applyNumberFormat="1" applyFont="1" applyFill="1" applyBorder="1" applyAlignment="1" applyProtection="1">
      <alignment horizontal="center"/>
      <protection/>
    </xf>
    <xf numFmtId="166" fontId="5" fillId="0" borderId="20" xfId="0" applyNumberFormat="1" applyFont="1" applyFill="1" applyBorder="1" applyAlignment="1" applyProtection="1">
      <alignment/>
      <protection/>
    </xf>
    <xf numFmtId="168" fontId="4" fillId="0" borderId="15" xfId="0" applyNumberFormat="1" applyFont="1" applyBorder="1" applyAlignment="1" applyProtection="1">
      <alignment horizontal="left"/>
      <protection/>
    </xf>
    <xf numFmtId="168" fontId="0" fillId="0" borderId="14" xfId="0" applyNumberFormat="1" applyBorder="1" applyAlignment="1" applyProtection="1">
      <alignment/>
      <protection/>
    </xf>
    <xf numFmtId="168" fontId="4" fillId="0" borderId="14" xfId="0" applyNumberFormat="1" applyFont="1" applyBorder="1" applyAlignment="1" applyProtection="1">
      <alignment horizontal="right"/>
      <protection/>
    </xf>
    <xf numFmtId="168" fontId="4" fillId="0" borderId="14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NumberFormat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/>
      <protection/>
    </xf>
    <xf numFmtId="166" fontId="5" fillId="0" borderId="0" xfId="0" applyNumberFormat="1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25" xfId="0" applyNumberFormat="1" applyFont="1" applyBorder="1" applyAlignment="1" applyProtection="1">
      <alignment horizontal="left"/>
      <protection/>
    </xf>
    <xf numFmtId="168" fontId="4" fillId="0" borderId="25" xfId="0" applyNumberFormat="1" applyFont="1" applyBorder="1" applyAlignment="1" applyProtection="1">
      <alignment/>
      <protection/>
    </xf>
    <xf numFmtId="168" fontId="4" fillId="0" borderId="22" xfId="0" applyNumberFormat="1" applyFont="1" applyBorder="1" applyAlignment="1" applyProtection="1">
      <alignment/>
      <protection/>
    </xf>
    <xf numFmtId="168" fontId="4" fillId="0" borderId="13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8" fontId="0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2" fontId="0" fillId="0" borderId="0" xfId="0" applyNumberFormat="1" applyBorder="1" applyAlignment="1" applyProtection="1">
      <alignment horizontal="center"/>
      <protection/>
    </xf>
    <xf numFmtId="168" fontId="0" fillId="0" borderId="0" xfId="0" applyNumberFormat="1" applyFont="1" applyFill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8" fontId="1" fillId="33" borderId="11" xfId="0" applyNumberFormat="1" applyFont="1" applyFill="1" applyBorder="1" applyAlignment="1" applyProtection="1">
      <alignment/>
      <protection/>
    </xf>
    <xf numFmtId="171" fontId="1" fillId="33" borderId="11" xfId="0" applyNumberFormat="1" applyFont="1" applyFill="1" applyBorder="1" applyAlignment="1" applyProtection="1">
      <alignment/>
      <protection/>
    </xf>
    <xf numFmtId="168" fontId="1" fillId="0" borderId="0" xfId="0" applyNumberFormat="1" applyFont="1" applyFill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18" fillId="0" borderId="35" xfId="0" applyFont="1" applyFill="1" applyBorder="1" applyAlignment="1" applyProtection="1" quotePrefix="1">
      <alignment horizontal="center"/>
      <protection/>
    </xf>
    <xf numFmtId="0" fontId="18" fillId="0" borderId="36" xfId="0" applyFont="1" applyBorder="1" applyAlignment="1" applyProtection="1" quotePrefix="1">
      <alignment horizontal="center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left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68" fontId="1" fillId="33" borderId="11" xfId="0" applyNumberFormat="1" applyFont="1" applyFill="1" applyBorder="1" applyAlignment="1" applyProtection="1">
      <alignment horizontal="center"/>
      <protection locked="0"/>
    </xf>
    <xf numFmtId="168" fontId="1" fillId="33" borderId="11" xfId="0" applyNumberFormat="1" applyFont="1" applyFill="1" applyBorder="1" applyAlignment="1" applyProtection="1">
      <alignment horizontal="center"/>
      <protection locked="0"/>
    </xf>
    <xf numFmtId="168" fontId="6" fillId="33" borderId="11" xfId="0" applyNumberFormat="1" applyFont="1" applyFill="1" applyBorder="1" applyAlignment="1" applyProtection="1">
      <alignment horizontal="center"/>
      <protection locked="0"/>
    </xf>
    <xf numFmtId="171" fontId="1" fillId="33" borderId="11" xfId="0" applyNumberFormat="1" applyFont="1" applyFill="1" applyBorder="1" applyAlignment="1" applyProtection="1">
      <alignment horizontal="center"/>
      <protection locked="0"/>
    </xf>
    <xf numFmtId="168" fontId="1" fillId="0" borderId="11" xfId="0" applyNumberFormat="1" applyFont="1" applyBorder="1" applyAlignment="1" applyProtection="1">
      <alignment horizontal="center"/>
      <protection locked="0"/>
    </xf>
    <xf numFmtId="0" fontId="7" fillId="0" borderId="11" xfId="0" applyNumberFormat="1" applyFont="1" applyBorder="1" applyAlignment="1" applyProtection="1">
      <alignment horizontal="center"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68" fontId="22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/>
    </xf>
    <xf numFmtId="168" fontId="7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168" fontId="0" fillId="0" borderId="13" xfId="0" applyNumberFormat="1" applyBorder="1" applyAlignment="1" applyProtection="1">
      <alignment/>
      <protection/>
    </xf>
    <xf numFmtId="0" fontId="7" fillId="0" borderId="13" xfId="0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168" fontId="0" fillId="33" borderId="18" xfId="0" applyNumberFormat="1" applyFill="1" applyBorder="1" applyAlignment="1" applyProtection="1">
      <alignment/>
      <protection/>
    </xf>
    <xf numFmtId="168" fontId="10" fillId="33" borderId="18" xfId="0" applyNumberFormat="1" applyFont="1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68" fontId="10" fillId="33" borderId="10" xfId="0" applyNumberFormat="1" applyFont="1" applyFill="1" applyBorder="1" applyAlignment="1" applyProtection="1">
      <alignment horizontal="center"/>
      <protection/>
    </xf>
    <xf numFmtId="168" fontId="0" fillId="33" borderId="10" xfId="0" applyNumberForma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168" fontId="2" fillId="33" borderId="10" xfId="0" applyNumberFormat="1" applyFont="1" applyFill="1" applyBorder="1" applyAlignment="1" applyProtection="1">
      <alignment horizontal="center"/>
      <protection/>
    </xf>
    <xf numFmtId="168" fontId="0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49" fontId="0" fillId="0" borderId="25" xfId="0" applyNumberForma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24" xfId="0" applyNumberFormat="1" applyBorder="1" applyAlignment="1" applyProtection="1">
      <alignment horizontal="center"/>
      <protection/>
    </xf>
    <xf numFmtId="168" fontId="0" fillId="33" borderId="12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fill"/>
      <protection/>
    </xf>
    <xf numFmtId="0" fontId="0" fillId="0" borderId="13" xfId="0" applyBorder="1" applyAlignment="1" applyProtection="1">
      <alignment horizontal="fill"/>
      <protection/>
    </xf>
    <xf numFmtId="0" fontId="0" fillId="0" borderId="13" xfId="0" applyNumberForma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1" fontId="0" fillId="0" borderId="10" xfId="0" applyNumberFormat="1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70" fontId="0" fillId="0" borderId="11" xfId="0" applyNumberFormat="1" applyBorder="1" applyAlignment="1" applyProtection="1">
      <alignment/>
      <protection/>
    </xf>
    <xf numFmtId="170" fontId="0" fillId="0" borderId="11" xfId="0" applyNumberForma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8" fontId="5" fillId="0" borderId="0" xfId="0" applyNumberFormat="1" applyFont="1" applyAlignment="1" applyProtection="1">
      <alignment horizontal="center"/>
      <protection/>
    </xf>
    <xf numFmtId="168" fontId="7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0" fillId="0" borderId="4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8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390525</xdr:colOff>
      <xdr:row>45</xdr:row>
      <xdr:rowOff>28575</xdr:rowOff>
    </xdr:from>
    <xdr:to>
      <xdr:col>19</xdr:col>
      <xdr:colOff>390525</xdr:colOff>
      <xdr:row>47</xdr:row>
      <xdr:rowOff>0</xdr:rowOff>
    </xdr:to>
    <xdr:sp>
      <xdr:nvSpPr>
        <xdr:cNvPr id="1" name="Line 28"/>
        <xdr:cNvSpPr>
          <a:spLocks/>
        </xdr:cNvSpPr>
      </xdr:nvSpPr>
      <xdr:spPr>
        <a:xfrm>
          <a:off x="10020300" y="83534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52</xdr:row>
      <xdr:rowOff>0</xdr:rowOff>
    </xdr:from>
    <xdr:to>
      <xdr:col>19</xdr:col>
      <xdr:colOff>476250</xdr:colOff>
      <xdr:row>52</xdr:row>
      <xdr:rowOff>0</xdr:rowOff>
    </xdr:to>
    <xdr:sp>
      <xdr:nvSpPr>
        <xdr:cNvPr id="2" name="Line 34"/>
        <xdr:cNvSpPr>
          <a:spLocks/>
        </xdr:cNvSpPr>
      </xdr:nvSpPr>
      <xdr:spPr>
        <a:xfrm flipH="1">
          <a:off x="10020300" y="964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390525</xdr:colOff>
      <xdr:row>51</xdr:row>
      <xdr:rowOff>152400</xdr:rowOff>
    </xdr:from>
    <xdr:to>
      <xdr:col>19</xdr:col>
      <xdr:colOff>390525</xdr:colOff>
      <xdr:row>56</xdr:row>
      <xdr:rowOff>0</xdr:rowOff>
    </xdr:to>
    <xdr:sp>
      <xdr:nvSpPr>
        <xdr:cNvPr id="3" name="Line 35"/>
        <xdr:cNvSpPr>
          <a:spLocks/>
        </xdr:cNvSpPr>
      </xdr:nvSpPr>
      <xdr:spPr>
        <a:xfrm>
          <a:off x="10020300" y="96012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46</xdr:row>
      <xdr:rowOff>142875</xdr:rowOff>
    </xdr:from>
    <xdr:to>
      <xdr:col>19</xdr:col>
      <xdr:colOff>419100</xdr:colOff>
      <xdr:row>49</xdr:row>
      <xdr:rowOff>142875</xdr:rowOff>
    </xdr:to>
    <xdr:sp>
      <xdr:nvSpPr>
        <xdr:cNvPr id="4" name="Line 47"/>
        <xdr:cNvSpPr>
          <a:spLocks/>
        </xdr:cNvSpPr>
      </xdr:nvSpPr>
      <xdr:spPr>
        <a:xfrm>
          <a:off x="10020300" y="8667750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342900</xdr:colOff>
      <xdr:row>47</xdr:row>
      <xdr:rowOff>0</xdr:rowOff>
    </xdr:from>
    <xdr:to>
      <xdr:col>19</xdr:col>
      <xdr:colOff>457200</xdr:colOff>
      <xdr:row>47</xdr:row>
      <xdr:rowOff>0</xdr:rowOff>
    </xdr:to>
    <xdr:sp>
      <xdr:nvSpPr>
        <xdr:cNvPr id="5" name="Line 53"/>
        <xdr:cNvSpPr>
          <a:spLocks/>
        </xdr:cNvSpPr>
      </xdr:nvSpPr>
      <xdr:spPr>
        <a:xfrm>
          <a:off x="10020300" y="87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523875</xdr:colOff>
      <xdr:row>57</xdr:row>
      <xdr:rowOff>0</xdr:rowOff>
    </xdr:from>
    <xdr:to>
      <xdr:col>21</xdr:col>
      <xdr:colOff>85725</xdr:colOff>
      <xdr:row>57</xdr:row>
      <xdr:rowOff>76200</xdr:rowOff>
    </xdr:to>
    <xdr:sp>
      <xdr:nvSpPr>
        <xdr:cNvPr id="6" name="Rectangle 106"/>
        <xdr:cNvSpPr>
          <a:spLocks/>
        </xdr:cNvSpPr>
      </xdr:nvSpPr>
      <xdr:spPr>
        <a:xfrm>
          <a:off x="10544175" y="10534650"/>
          <a:ext cx="2000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21</xdr:col>
      <xdr:colOff>0</xdr:colOff>
      <xdr:row>57</xdr:row>
      <xdr:rowOff>9525</xdr:rowOff>
    </xdr:to>
    <xdr:sp>
      <xdr:nvSpPr>
        <xdr:cNvPr id="7" name="Line 107"/>
        <xdr:cNvSpPr>
          <a:spLocks/>
        </xdr:cNvSpPr>
      </xdr:nvSpPr>
      <xdr:spPr>
        <a:xfrm flipV="1">
          <a:off x="10658475" y="9286875"/>
          <a:ext cx="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48</xdr:row>
      <xdr:rowOff>152400</xdr:rowOff>
    </xdr:from>
    <xdr:to>
      <xdr:col>22</xdr:col>
      <xdr:colOff>219075</xdr:colOff>
      <xdr:row>50</xdr:row>
      <xdr:rowOff>19050</xdr:rowOff>
    </xdr:to>
    <xdr:sp>
      <xdr:nvSpPr>
        <xdr:cNvPr id="8" name="Text Box 110"/>
        <xdr:cNvSpPr txBox="1">
          <a:spLocks noChangeArrowheads="1"/>
        </xdr:cNvSpPr>
      </xdr:nvSpPr>
      <xdr:spPr>
        <a:xfrm>
          <a:off x="11325225" y="90773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22</xdr:col>
      <xdr:colOff>76200</xdr:colOff>
      <xdr:row>57</xdr:row>
      <xdr:rowOff>0</xdr:rowOff>
    </xdr:to>
    <xdr:sp>
      <xdr:nvSpPr>
        <xdr:cNvPr id="9" name="Rectangle 129"/>
        <xdr:cNvSpPr>
          <a:spLocks/>
        </xdr:cNvSpPr>
      </xdr:nvSpPr>
      <xdr:spPr>
        <a:xfrm>
          <a:off x="10658475" y="9286875"/>
          <a:ext cx="714375" cy="1247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Reinforced Soil</a:t>
          </a:r>
        </a:p>
      </xdr:txBody>
    </xdr:sp>
    <xdr:clientData/>
  </xdr:twoCellAnchor>
  <xdr:oneCellAnchor>
    <xdr:from>
      <xdr:col>22</xdr:col>
      <xdr:colOff>419100</xdr:colOff>
      <xdr:row>53</xdr:row>
      <xdr:rowOff>0</xdr:rowOff>
    </xdr:from>
    <xdr:ext cx="419100" cy="180975"/>
    <xdr:sp>
      <xdr:nvSpPr>
        <xdr:cNvPr id="10" name="Text Box 130"/>
        <xdr:cNvSpPr txBox="1">
          <a:spLocks noChangeArrowheads="1"/>
        </xdr:cNvSpPr>
      </xdr:nvSpPr>
      <xdr:spPr>
        <a:xfrm>
          <a:off x="11715750" y="9810750"/>
          <a:ext cx="419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Backfill</a:t>
          </a:r>
        </a:p>
      </xdr:txBody>
    </xdr:sp>
    <xdr:clientData/>
  </xdr:oneCellAnchor>
  <xdr:twoCellAnchor>
    <xdr:from>
      <xdr:col>21</xdr:col>
      <xdr:colOff>0</xdr:colOff>
      <xdr:row>57</xdr:row>
      <xdr:rowOff>95250</xdr:rowOff>
    </xdr:from>
    <xdr:to>
      <xdr:col>21</xdr:col>
      <xdr:colOff>0</xdr:colOff>
      <xdr:row>58</xdr:row>
      <xdr:rowOff>9525</xdr:rowOff>
    </xdr:to>
    <xdr:sp>
      <xdr:nvSpPr>
        <xdr:cNvPr id="11" name="Line 131"/>
        <xdr:cNvSpPr>
          <a:spLocks/>
        </xdr:cNvSpPr>
      </xdr:nvSpPr>
      <xdr:spPr>
        <a:xfrm>
          <a:off x="10658475" y="10629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55</xdr:row>
      <xdr:rowOff>123825</xdr:rowOff>
    </xdr:from>
    <xdr:ext cx="104775" cy="180975"/>
    <xdr:sp>
      <xdr:nvSpPr>
        <xdr:cNvPr id="12" name="Text Box 138"/>
        <xdr:cNvSpPr txBox="1">
          <a:spLocks noChangeArrowheads="1"/>
        </xdr:cNvSpPr>
      </xdr:nvSpPr>
      <xdr:spPr>
        <a:xfrm>
          <a:off x="10658475" y="10296525"/>
          <a:ext cx="104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20</xdr:col>
      <xdr:colOff>323850</xdr:colOff>
      <xdr:row>50</xdr:row>
      <xdr:rowOff>0</xdr:rowOff>
    </xdr:from>
    <xdr:to>
      <xdr:col>20</xdr:col>
      <xdr:colOff>476250</xdr:colOff>
      <xdr:row>50</xdr:row>
      <xdr:rowOff>0</xdr:rowOff>
    </xdr:to>
    <xdr:sp>
      <xdr:nvSpPr>
        <xdr:cNvPr id="13" name="Line 139"/>
        <xdr:cNvSpPr>
          <a:spLocks/>
        </xdr:cNvSpPr>
      </xdr:nvSpPr>
      <xdr:spPr>
        <a:xfrm flipH="1">
          <a:off x="10344150" y="92868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52</xdr:row>
      <xdr:rowOff>0</xdr:rowOff>
    </xdr:from>
    <xdr:ext cx="152400" cy="219075"/>
    <xdr:sp>
      <xdr:nvSpPr>
        <xdr:cNvPr id="14" name="Text Box 141"/>
        <xdr:cNvSpPr txBox="1">
          <a:spLocks noChangeArrowheads="1"/>
        </xdr:cNvSpPr>
      </xdr:nvSpPr>
      <xdr:spPr>
        <a:xfrm>
          <a:off x="10658475" y="9648825"/>
          <a:ext cx="152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</a:p>
      </xdr:txBody>
    </xdr:sp>
    <xdr:clientData/>
  </xdr:oneCellAnchor>
  <xdr:twoCellAnchor>
    <xdr:from>
      <xdr:col>19</xdr:col>
      <xdr:colOff>371475</xdr:colOff>
      <xdr:row>50</xdr:row>
      <xdr:rowOff>9525</xdr:rowOff>
    </xdr:from>
    <xdr:to>
      <xdr:col>19</xdr:col>
      <xdr:colOff>523875</xdr:colOff>
      <xdr:row>50</xdr:row>
      <xdr:rowOff>9525</xdr:rowOff>
    </xdr:to>
    <xdr:sp>
      <xdr:nvSpPr>
        <xdr:cNvPr id="15" name="Line 142"/>
        <xdr:cNvSpPr>
          <a:spLocks/>
        </xdr:cNvSpPr>
      </xdr:nvSpPr>
      <xdr:spPr>
        <a:xfrm>
          <a:off x="10020300" y="929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390525</xdr:colOff>
      <xdr:row>57</xdr:row>
      <xdr:rowOff>0</xdr:rowOff>
    </xdr:from>
    <xdr:to>
      <xdr:col>19</xdr:col>
      <xdr:colOff>533400</xdr:colOff>
      <xdr:row>57</xdr:row>
      <xdr:rowOff>0</xdr:rowOff>
    </xdr:to>
    <xdr:sp>
      <xdr:nvSpPr>
        <xdr:cNvPr id="16" name="Line 143"/>
        <xdr:cNvSpPr>
          <a:spLocks/>
        </xdr:cNvSpPr>
      </xdr:nvSpPr>
      <xdr:spPr>
        <a:xfrm>
          <a:off x="1002030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457200</xdr:colOff>
      <xdr:row>50</xdr:row>
      <xdr:rowOff>0</xdr:rowOff>
    </xdr:from>
    <xdr:to>
      <xdr:col>19</xdr:col>
      <xdr:colOff>457200</xdr:colOff>
      <xdr:row>57</xdr:row>
      <xdr:rowOff>0</xdr:rowOff>
    </xdr:to>
    <xdr:sp>
      <xdr:nvSpPr>
        <xdr:cNvPr id="17" name="Line 144"/>
        <xdr:cNvSpPr>
          <a:spLocks/>
        </xdr:cNvSpPr>
      </xdr:nvSpPr>
      <xdr:spPr>
        <a:xfrm>
          <a:off x="10020300" y="92868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</xdr:col>
      <xdr:colOff>0</xdr:colOff>
      <xdr:row>53</xdr:row>
      <xdr:rowOff>0</xdr:rowOff>
    </xdr:from>
    <xdr:ext cx="104775" cy="180975"/>
    <xdr:sp>
      <xdr:nvSpPr>
        <xdr:cNvPr id="18" name="Text Box 145"/>
        <xdr:cNvSpPr txBox="1">
          <a:spLocks noChangeArrowheads="1"/>
        </xdr:cNvSpPr>
      </xdr:nvSpPr>
      <xdr:spPr>
        <a:xfrm>
          <a:off x="10658475" y="9810750"/>
          <a:ext cx="104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oneCellAnchor>
  <xdr:twoCellAnchor>
    <xdr:from>
      <xdr:col>20</xdr:col>
      <xdr:colOff>523875</xdr:colOff>
      <xdr:row>57</xdr:row>
      <xdr:rowOff>0</xdr:rowOff>
    </xdr:from>
    <xdr:to>
      <xdr:col>21</xdr:col>
      <xdr:colOff>85725</xdr:colOff>
      <xdr:row>57</xdr:row>
      <xdr:rowOff>76200</xdr:rowOff>
    </xdr:to>
    <xdr:sp>
      <xdr:nvSpPr>
        <xdr:cNvPr id="19" name="Rectangle 154"/>
        <xdr:cNvSpPr>
          <a:spLocks/>
        </xdr:cNvSpPr>
      </xdr:nvSpPr>
      <xdr:spPr>
        <a:xfrm>
          <a:off x="10544175" y="10534650"/>
          <a:ext cx="2000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50</xdr:row>
      <xdr:rowOff>0</xdr:rowOff>
    </xdr:from>
    <xdr:to>
      <xdr:col>21</xdr:col>
      <xdr:colOff>0</xdr:colOff>
      <xdr:row>57</xdr:row>
      <xdr:rowOff>9525</xdr:rowOff>
    </xdr:to>
    <xdr:sp>
      <xdr:nvSpPr>
        <xdr:cNvPr id="20" name="Line 156"/>
        <xdr:cNvSpPr>
          <a:spLocks/>
        </xdr:cNvSpPr>
      </xdr:nvSpPr>
      <xdr:spPr>
        <a:xfrm flipV="1">
          <a:off x="10658475" y="9286875"/>
          <a:ext cx="0" cy="1257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523875</xdr:colOff>
      <xdr:row>57</xdr:row>
      <xdr:rowOff>0</xdr:rowOff>
    </xdr:from>
    <xdr:to>
      <xdr:col>21</xdr:col>
      <xdr:colOff>85725</xdr:colOff>
      <xdr:row>57</xdr:row>
      <xdr:rowOff>76200</xdr:rowOff>
    </xdr:to>
    <xdr:sp>
      <xdr:nvSpPr>
        <xdr:cNvPr id="21" name="Rectangle 157"/>
        <xdr:cNvSpPr>
          <a:spLocks/>
        </xdr:cNvSpPr>
      </xdr:nvSpPr>
      <xdr:spPr>
        <a:xfrm>
          <a:off x="10544175" y="10534650"/>
          <a:ext cx="200025" cy="76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342900</xdr:colOff>
      <xdr:row>57</xdr:row>
      <xdr:rowOff>0</xdr:rowOff>
    </xdr:from>
    <xdr:to>
      <xdr:col>20</xdr:col>
      <xdr:colOff>457200</xdr:colOff>
      <xdr:row>57</xdr:row>
      <xdr:rowOff>0</xdr:rowOff>
    </xdr:to>
    <xdr:sp>
      <xdr:nvSpPr>
        <xdr:cNvPr id="22" name="Line 158"/>
        <xdr:cNvSpPr>
          <a:spLocks/>
        </xdr:cNvSpPr>
      </xdr:nvSpPr>
      <xdr:spPr>
        <a:xfrm>
          <a:off x="10363200" y="105346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123825</xdr:rowOff>
    </xdr:from>
    <xdr:to>
      <xdr:col>26</xdr:col>
      <xdr:colOff>0</xdr:colOff>
      <xdr:row>60</xdr:row>
      <xdr:rowOff>0</xdr:rowOff>
    </xdr:to>
    <xdr:grpSp>
      <xdr:nvGrpSpPr>
        <xdr:cNvPr id="23" name="Group 163"/>
        <xdr:cNvGrpSpPr>
          <a:grpSpLocks/>
        </xdr:cNvGrpSpPr>
      </xdr:nvGrpSpPr>
      <xdr:grpSpPr>
        <a:xfrm>
          <a:off x="10020300" y="8248650"/>
          <a:ext cx="2552700" cy="2847975"/>
          <a:chOff x="1052" y="867"/>
          <a:chExt cx="268" cy="299"/>
        </a:xfrm>
        <a:solidFill>
          <a:srgbClr val="FFFFFF"/>
        </a:solidFill>
      </xdr:grpSpPr>
      <xdr:sp>
        <xdr:nvSpPr>
          <xdr:cNvPr id="24" name="Line 108"/>
          <xdr:cNvSpPr>
            <a:spLocks/>
          </xdr:cNvSpPr>
        </xdr:nvSpPr>
        <xdr:spPr>
          <a:xfrm flipV="1">
            <a:off x="1115" y="918"/>
            <a:ext cx="205" cy="5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09"/>
          <xdr:cNvSpPr>
            <a:spLocks/>
          </xdr:cNvSpPr>
        </xdr:nvSpPr>
        <xdr:spPr>
          <a:xfrm>
            <a:off x="1119" y="976"/>
            <a:ext cx="2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" name="Group 111"/>
          <xdr:cNvGrpSpPr>
            <a:grpSpLocks/>
          </xdr:cNvGrpSpPr>
        </xdr:nvGrpSpPr>
        <xdr:grpSpPr>
          <a:xfrm>
            <a:off x="1119" y="867"/>
            <a:ext cx="75" cy="51"/>
            <a:chOff x="940" y="734"/>
            <a:chExt cx="91" cy="39"/>
          </a:xfrm>
          <a:solidFill>
            <a:srgbClr val="FFFFFF"/>
          </a:solidFill>
        </xdr:grpSpPr>
        <xdr:grpSp>
          <xdr:nvGrpSpPr>
            <xdr:cNvPr id="27" name="Group 112"/>
            <xdr:cNvGrpSpPr>
              <a:grpSpLocks/>
            </xdr:cNvGrpSpPr>
          </xdr:nvGrpSpPr>
          <xdr:grpSpPr>
            <a:xfrm>
              <a:off x="940" y="755"/>
              <a:ext cx="91" cy="18"/>
              <a:chOff x="940" y="755"/>
              <a:chExt cx="94" cy="18"/>
            </a:xfrm>
            <a:solidFill>
              <a:srgbClr val="FFFFFF"/>
            </a:solidFill>
          </xdr:grpSpPr>
          <xdr:sp>
            <xdr:nvSpPr>
              <xdr:cNvPr id="28" name="Line 113"/>
              <xdr:cNvSpPr>
                <a:spLocks/>
              </xdr:cNvSpPr>
            </xdr:nvSpPr>
            <xdr:spPr>
              <a:xfrm>
                <a:off x="940" y="755"/>
                <a:ext cx="9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Line 114"/>
              <xdr:cNvSpPr>
                <a:spLocks/>
              </xdr:cNvSpPr>
            </xdr:nvSpPr>
            <xdr:spPr>
              <a:xfrm>
                <a:off x="940" y="75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0" name="Line 115"/>
              <xdr:cNvSpPr>
                <a:spLocks/>
              </xdr:cNvSpPr>
            </xdr:nvSpPr>
            <xdr:spPr>
              <a:xfrm>
                <a:off x="1034" y="75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1" name="Line 116"/>
              <xdr:cNvSpPr>
                <a:spLocks/>
              </xdr:cNvSpPr>
            </xdr:nvSpPr>
            <xdr:spPr>
              <a:xfrm>
                <a:off x="987" y="75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Line 117"/>
              <xdr:cNvSpPr>
                <a:spLocks/>
              </xdr:cNvSpPr>
            </xdr:nvSpPr>
            <xdr:spPr>
              <a:xfrm>
                <a:off x="962" y="75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" name="Line 118"/>
              <xdr:cNvSpPr>
                <a:spLocks/>
              </xdr:cNvSpPr>
            </xdr:nvSpPr>
            <xdr:spPr>
              <a:xfrm>
                <a:off x="1010" y="75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" name="Text Box 119"/>
            <xdr:cNvSpPr txBox="1">
              <a:spLocks noChangeArrowheads="1"/>
            </xdr:cNvSpPr>
          </xdr:nvSpPr>
          <xdr:spPr>
            <a:xfrm>
              <a:off x="986" y="734"/>
              <a:ext cx="17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q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1</a:t>
              </a:r>
            </a:p>
          </xdr:txBody>
        </xdr:sp>
      </xdr:grpSp>
      <xdr:grpSp>
        <xdr:nvGrpSpPr>
          <xdr:cNvPr id="35" name="Group 120"/>
          <xdr:cNvGrpSpPr>
            <a:grpSpLocks/>
          </xdr:cNvGrpSpPr>
        </xdr:nvGrpSpPr>
        <xdr:grpSpPr>
          <a:xfrm>
            <a:off x="1201" y="867"/>
            <a:ext cx="115" cy="51"/>
            <a:chOff x="1041" y="734"/>
            <a:chExt cx="90" cy="39"/>
          </a:xfrm>
          <a:solidFill>
            <a:srgbClr val="FFFFFF"/>
          </a:solidFill>
        </xdr:grpSpPr>
        <xdr:grpSp>
          <xdr:nvGrpSpPr>
            <xdr:cNvPr id="36" name="Group 121"/>
            <xdr:cNvGrpSpPr>
              <a:grpSpLocks/>
            </xdr:cNvGrpSpPr>
          </xdr:nvGrpSpPr>
          <xdr:grpSpPr>
            <a:xfrm>
              <a:off x="1041" y="755"/>
              <a:ext cx="90" cy="18"/>
              <a:chOff x="940" y="755"/>
              <a:chExt cx="94" cy="18"/>
            </a:xfrm>
            <a:solidFill>
              <a:srgbClr val="FFFFFF"/>
            </a:solidFill>
          </xdr:grpSpPr>
          <xdr:sp>
            <xdr:nvSpPr>
              <xdr:cNvPr id="37" name="Line 122"/>
              <xdr:cNvSpPr>
                <a:spLocks/>
              </xdr:cNvSpPr>
            </xdr:nvSpPr>
            <xdr:spPr>
              <a:xfrm>
                <a:off x="940" y="755"/>
                <a:ext cx="94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8" name="Line 123"/>
              <xdr:cNvSpPr>
                <a:spLocks/>
              </xdr:cNvSpPr>
            </xdr:nvSpPr>
            <xdr:spPr>
              <a:xfrm>
                <a:off x="940" y="75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9" name="Line 124"/>
              <xdr:cNvSpPr>
                <a:spLocks/>
              </xdr:cNvSpPr>
            </xdr:nvSpPr>
            <xdr:spPr>
              <a:xfrm>
                <a:off x="1034" y="75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0" name="Line 125"/>
              <xdr:cNvSpPr>
                <a:spLocks/>
              </xdr:cNvSpPr>
            </xdr:nvSpPr>
            <xdr:spPr>
              <a:xfrm>
                <a:off x="987" y="75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126"/>
              <xdr:cNvSpPr>
                <a:spLocks/>
              </xdr:cNvSpPr>
            </xdr:nvSpPr>
            <xdr:spPr>
              <a:xfrm>
                <a:off x="962" y="755"/>
                <a:ext cx="0" cy="1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127"/>
              <xdr:cNvSpPr>
                <a:spLocks/>
              </xdr:cNvSpPr>
            </xdr:nvSpPr>
            <xdr:spPr>
              <a:xfrm>
                <a:off x="1010" y="755"/>
                <a:ext cx="0" cy="1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43" name="Text Box 128"/>
            <xdr:cNvSpPr txBox="1">
              <a:spLocks noChangeArrowheads="1"/>
            </xdr:cNvSpPr>
          </xdr:nvSpPr>
          <xdr:spPr>
            <a:xfrm>
              <a:off x="1075" y="734"/>
              <a:ext cx="11" cy="1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q</a:t>
              </a:r>
              <a:r>
                <a:rPr lang="en-US" cap="none" sz="1000" b="0" i="0" u="none" baseline="-2500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</a:t>
              </a:r>
            </a:p>
          </xdr:txBody>
        </xdr:sp>
      </xdr:grpSp>
      <xdr:sp>
        <xdr:nvSpPr>
          <xdr:cNvPr id="44" name="Line 132"/>
          <xdr:cNvSpPr>
            <a:spLocks/>
          </xdr:cNvSpPr>
        </xdr:nvSpPr>
        <xdr:spPr>
          <a:xfrm flipH="1" flipV="1">
            <a:off x="1052" y="1072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33"/>
          <xdr:cNvSpPr>
            <a:spLocks/>
          </xdr:cNvSpPr>
        </xdr:nvSpPr>
        <xdr:spPr>
          <a:xfrm>
            <a:off x="1093" y="1072"/>
            <a:ext cx="0" cy="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6" name="Group 134"/>
          <xdr:cNvGrpSpPr>
            <a:grpSpLocks/>
          </xdr:cNvGrpSpPr>
        </xdr:nvGrpSpPr>
        <xdr:grpSpPr>
          <a:xfrm>
            <a:off x="1119" y="1115"/>
            <a:ext cx="76" cy="32"/>
            <a:chOff x="940" y="950"/>
            <a:chExt cx="73" cy="28"/>
          </a:xfrm>
          <a:solidFill>
            <a:srgbClr val="FFFFFF"/>
          </a:solidFill>
        </xdr:grpSpPr>
        <xdr:sp>
          <xdr:nvSpPr>
            <xdr:cNvPr id="47" name="Line 135"/>
            <xdr:cNvSpPr>
              <a:spLocks/>
            </xdr:cNvSpPr>
          </xdr:nvSpPr>
          <xdr:spPr>
            <a:xfrm>
              <a:off x="1013" y="950"/>
              <a:ext cx="0" cy="9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136"/>
            <xdr:cNvSpPr>
              <a:spLocks/>
            </xdr:cNvSpPr>
          </xdr:nvSpPr>
          <xdr:spPr>
            <a:xfrm>
              <a:off x="940" y="955"/>
              <a:ext cx="7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Text Box 137"/>
            <xdr:cNvSpPr txBox="1">
              <a:spLocks noChangeArrowheads="1"/>
            </xdr:cNvSpPr>
          </xdr:nvSpPr>
          <xdr:spPr>
            <a:xfrm>
              <a:off x="977" y="961"/>
              <a:ext cx="9" cy="1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18288" tIns="18288" rIns="0" bIns="0">
              <a:spAutoFit/>
            </a:bodyPr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</a:t>
              </a:r>
            </a:p>
          </xdr:txBody>
        </xdr:sp>
      </xdr:grpSp>
      <xdr:sp>
        <xdr:nvSpPr>
          <xdr:cNvPr id="50" name="Line 140"/>
          <xdr:cNvSpPr>
            <a:spLocks/>
          </xdr:cNvSpPr>
        </xdr:nvSpPr>
        <xdr:spPr>
          <a:xfrm>
            <a:off x="1093" y="971"/>
            <a:ext cx="0" cy="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46"/>
          <xdr:cNvSpPr txBox="1">
            <a:spLocks noChangeArrowheads="1"/>
          </xdr:cNvSpPr>
        </xdr:nvSpPr>
        <xdr:spPr>
          <a:xfrm>
            <a:off x="1148" y="1143"/>
            <a:ext cx="9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Foundation Soil</a:t>
            </a:r>
          </a:p>
        </xdr:txBody>
      </xdr:sp>
      <xdr:grpSp>
        <xdr:nvGrpSpPr>
          <xdr:cNvPr id="52" name="Group 147"/>
          <xdr:cNvGrpSpPr>
            <a:grpSpLocks/>
          </xdr:cNvGrpSpPr>
        </xdr:nvGrpSpPr>
        <xdr:grpSpPr>
          <a:xfrm>
            <a:off x="1052" y="1150"/>
            <a:ext cx="52" cy="16"/>
            <a:chOff x="877" y="970"/>
            <a:chExt cx="54" cy="12"/>
          </a:xfrm>
          <a:solidFill>
            <a:srgbClr val="FFFFFF"/>
          </a:solidFill>
        </xdr:grpSpPr>
        <xdr:sp>
          <xdr:nvSpPr>
            <xdr:cNvPr id="53" name="Line 148"/>
            <xdr:cNvSpPr>
              <a:spLocks/>
            </xdr:cNvSpPr>
          </xdr:nvSpPr>
          <xdr:spPr>
            <a:xfrm>
              <a:off x="877" y="978"/>
              <a:ext cx="5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AutoShape 149"/>
            <xdr:cNvSpPr>
              <a:spLocks/>
            </xdr:cNvSpPr>
          </xdr:nvSpPr>
          <xdr:spPr>
            <a:xfrm rot="10800000">
              <a:off x="884" y="970"/>
              <a:ext cx="10" cy="7"/>
            </a:xfrm>
            <a:prstGeom prst="triangl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50"/>
            <xdr:cNvSpPr>
              <a:spLocks/>
            </xdr:cNvSpPr>
          </xdr:nvSpPr>
          <xdr:spPr>
            <a:xfrm>
              <a:off x="884" y="980"/>
              <a:ext cx="1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Line 151"/>
            <xdr:cNvSpPr>
              <a:spLocks/>
            </xdr:cNvSpPr>
          </xdr:nvSpPr>
          <xdr:spPr>
            <a:xfrm>
              <a:off x="886" y="9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7" name="Line 152"/>
          <xdr:cNvSpPr>
            <a:spLocks/>
          </xdr:cNvSpPr>
        </xdr:nvSpPr>
        <xdr:spPr>
          <a:xfrm>
            <a:off x="1095" y="1105"/>
            <a:ext cx="1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Text Box 153"/>
          <xdr:cNvSpPr txBox="1">
            <a:spLocks noChangeArrowheads="1"/>
          </xdr:cNvSpPr>
        </xdr:nvSpPr>
        <xdr:spPr>
          <a:xfrm>
            <a:off x="1066" y="1120"/>
            <a:ext cx="1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59" name="Rectangle 155"/>
          <xdr:cNvSpPr>
            <a:spLocks/>
          </xdr:cNvSpPr>
        </xdr:nvSpPr>
        <xdr:spPr>
          <a:xfrm>
            <a:off x="1119" y="976"/>
            <a:ext cx="75" cy="13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Reinforced Soil</a:t>
            </a:r>
          </a:p>
        </xdr:txBody>
      </xdr:sp>
      <xdr:sp>
        <xdr:nvSpPr>
          <xdr:cNvPr id="60" name="Text Box 161"/>
          <xdr:cNvSpPr txBox="1">
            <a:spLocks noChangeArrowheads="1"/>
          </xdr:cNvSpPr>
        </xdr:nvSpPr>
        <xdr:spPr>
          <a:xfrm>
            <a:off x="1057" y="1079"/>
            <a:ext cx="2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61" name="Text Box 162"/>
          <xdr:cNvSpPr txBox="1">
            <a:spLocks noChangeArrowheads="1"/>
          </xdr:cNvSpPr>
        </xdr:nvSpPr>
        <xdr:spPr>
          <a:xfrm>
            <a:off x="1056" y="1003"/>
            <a:ext cx="31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505450" y="61055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0</xdr:rowOff>
    </xdr:from>
    <xdr:to>
      <xdr:col>20</xdr:col>
      <xdr:colOff>219075</xdr:colOff>
      <xdr:row>34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505450" y="6105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3" name="Line 26"/>
        <xdr:cNvSpPr>
          <a:spLocks/>
        </xdr:cNvSpPr>
      </xdr:nvSpPr>
      <xdr:spPr>
        <a:xfrm>
          <a:off x="550545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34</xdr:row>
      <xdr:rowOff>0</xdr:rowOff>
    </xdr:from>
    <xdr:to>
      <xdr:col>18</xdr:col>
      <xdr:colOff>390525</xdr:colOff>
      <xdr:row>34</xdr:row>
      <xdr:rowOff>0</xdr:rowOff>
    </xdr:to>
    <xdr:sp>
      <xdr:nvSpPr>
        <xdr:cNvPr id="4" name="Line 29"/>
        <xdr:cNvSpPr>
          <a:spLocks/>
        </xdr:cNvSpPr>
      </xdr:nvSpPr>
      <xdr:spPr>
        <a:xfrm>
          <a:off x="550545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34</xdr:row>
      <xdr:rowOff>0</xdr:rowOff>
    </xdr:from>
    <xdr:to>
      <xdr:col>18</xdr:col>
      <xdr:colOff>390525</xdr:colOff>
      <xdr:row>34</xdr:row>
      <xdr:rowOff>0</xdr:rowOff>
    </xdr:to>
    <xdr:sp>
      <xdr:nvSpPr>
        <xdr:cNvPr id="5" name="Line 36"/>
        <xdr:cNvSpPr>
          <a:spLocks/>
        </xdr:cNvSpPr>
      </xdr:nvSpPr>
      <xdr:spPr>
        <a:xfrm>
          <a:off x="550545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34</xdr:row>
      <xdr:rowOff>0</xdr:rowOff>
    </xdr:from>
    <xdr:to>
      <xdr:col>17</xdr:col>
      <xdr:colOff>457200</xdr:colOff>
      <xdr:row>34</xdr:row>
      <xdr:rowOff>0</xdr:rowOff>
    </xdr:to>
    <xdr:sp>
      <xdr:nvSpPr>
        <xdr:cNvPr id="6" name="Line 40"/>
        <xdr:cNvSpPr>
          <a:spLocks/>
        </xdr:cNvSpPr>
      </xdr:nvSpPr>
      <xdr:spPr>
        <a:xfrm>
          <a:off x="5505450" y="610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7" name="Line 52"/>
        <xdr:cNvSpPr>
          <a:spLocks/>
        </xdr:cNvSpPr>
      </xdr:nvSpPr>
      <xdr:spPr>
        <a:xfrm flipV="1">
          <a:off x="5505450" y="610552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391150" y="60483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34</xdr:row>
      <xdr:rowOff>0</xdr:rowOff>
    </xdr:from>
    <xdr:to>
      <xdr:col>20</xdr:col>
      <xdr:colOff>219075</xdr:colOff>
      <xdr:row>34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391150" y="60483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3" name="Line 26"/>
        <xdr:cNvSpPr>
          <a:spLocks/>
        </xdr:cNvSpPr>
      </xdr:nvSpPr>
      <xdr:spPr>
        <a:xfrm>
          <a:off x="53911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34</xdr:row>
      <xdr:rowOff>0</xdr:rowOff>
    </xdr:from>
    <xdr:to>
      <xdr:col>18</xdr:col>
      <xdr:colOff>390525</xdr:colOff>
      <xdr:row>34</xdr:row>
      <xdr:rowOff>0</xdr:rowOff>
    </xdr:to>
    <xdr:sp>
      <xdr:nvSpPr>
        <xdr:cNvPr id="4" name="Line 28"/>
        <xdr:cNvSpPr>
          <a:spLocks/>
        </xdr:cNvSpPr>
      </xdr:nvSpPr>
      <xdr:spPr>
        <a:xfrm>
          <a:off x="53911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76200</xdr:colOff>
      <xdr:row>41</xdr:row>
      <xdr:rowOff>76200</xdr:rowOff>
    </xdr:from>
    <xdr:ext cx="95250" cy="228600"/>
    <xdr:sp fLocksText="0">
      <xdr:nvSpPr>
        <xdr:cNvPr id="5" name="Text Box 33"/>
        <xdr:cNvSpPr txBox="1">
          <a:spLocks noChangeArrowheads="1"/>
        </xdr:cNvSpPr>
      </xdr:nvSpPr>
      <xdr:spPr>
        <a:xfrm>
          <a:off x="4800600" y="7258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390525</xdr:colOff>
      <xdr:row>34</xdr:row>
      <xdr:rowOff>0</xdr:rowOff>
    </xdr:from>
    <xdr:to>
      <xdr:col>18</xdr:col>
      <xdr:colOff>390525</xdr:colOff>
      <xdr:row>34</xdr:row>
      <xdr:rowOff>0</xdr:rowOff>
    </xdr:to>
    <xdr:sp>
      <xdr:nvSpPr>
        <xdr:cNvPr id="6" name="Line 35"/>
        <xdr:cNvSpPr>
          <a:spLocks/>
        </xdr:cNvSpPr>
      </xdr:nvSpPr>
      <xdr:spPr>
        <a:xfrm>
          <a:off x="53911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34</xdr:row>
      <xdr:rowOff>0</xdr:rowOff>
    </xdr:from>
    <xdr:to>
      <xdr:col>17</xdr:col>
      <xdr:colOff>457200</xdr:colOff>
      <xdr:row>34</xdr:row>
      <xdr:rowOff>0</xdr:rowOff>
    </xdr:to>
    <xdr:sp>
      <xdr:nvSpPr>
        <xdr:cNvPr id="7" name="Line 39"/>
        <xdr:cNvSpPr>
          <a:spLocks/>
        </xdr:cNvSpPr>
      </xdr:nvSpPr>
      <xdr:spPr>
        <a:xfrm>
          <a:off x="5391150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0</xdr:colOff>
      <xdr:row>34</xdr:row>
      <xdr:rowOff>0</xdr:rowOff>
    </xdr:to>
    <xdr:sp>
      <xdr:nvSpPr>
        <xdr:cNvPr id="8" name="Line 51"/>
        <xdr:cNvSpPr>
          <a:spLocks/>
        </xdr:cNvSpPr>
      </xdr:nvSpPr>
      <xdr:spPr>
        <a:xfrm flipV="1">
          <a:off x="5391150" y="6048375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597217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</xdr:colOff>
      <xdr:row>30</xdr:row>
      <xdr:rowOff>0</xdr:rowOff>
    </xdr:from>
    <xdr:to>
      <xdr:col>20</xdr:col>
      <xdr:colOff>219075</xdr:colOff>
      <xdr:row>30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5972175" y="647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β</a:t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104775" cy="238125"/>
    <xdr:sp fLocksText="0">
      <xdr:nvSpPr>
        <xdr:cNvPr id="3" name="Text Box 25"/>
        <xdr:cNvSpPr txBox="1">
          <a:spLocks noChangeArrowheads="1"/>
        </xdr:cNvSpPr>
      </xdr:nvSpPr>
      <xdr:spPr>
        <a:xfrm>
          <a:off x="5972175" y="64770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4" name="Line 26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504825</xdr:colOff>
      <xdr:row>30</xdr:row>
      <xdr:rowOff>0</xdr:rowOff>
    </xdr:from>
    <xdr:to>
      <xdr:col>18</xdr:col>
      <xdr:colOff>600075</xdr:colOff>
      <xdr:row>30</xdr:row>
      <xdr:rowOff>0</xdr:rowOff>
    </xdr:to>
    <xdr:sp>
      <xdr:nvSpPr>
        <xdr:cNvPr id="5" name="Line 27"/>
        <xdr:cNvSpPr>
          <a:spLocks/>
        </xdr:cNvSpPr>
      </xdr:nvSpPr>
      <xdr:spPr>
        <a:xfrm flipH="1" flipV="1"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30</xdr:row>
      <xdr:rowOff>0</xdr:rowOff>
    </xdr:from>
    <xdr:to>
      <xdr:col>18</xdr:col>
      <xdr:colOff>390525</xdr:colOff>
      <xdr:row>30</xdr:row>
      <xdr:rowOff>0</xdr:rowOff>
    </xdr:to>
    <xdr:sp>
      <xdr:nvSpPr>
        <xdr:cNvPr id="6" name="Line 28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42</xdr:row>
      <xdr:rowOff>0</xdr:rowOff>
    </xdr:from>
    <xdr:ext cx="104775" cy="238125"/>
    <xdr:sp fLocksText="0">
      <xdr:nvSpPr>
        <xdr:cNvPr id="7" name="Text Box 33"/>
        <xdr:cNvSpPr txBox="1">
          <a:spLocks noChangeArrowheads="1"/>
        </xdr:cNvSpPr>
      </xdr:nvSpPr>
      <xdr:spPr>
        <a:xfrm>
          <a:off x="5972175" y="84201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18</xdr:col>
      <xdr:colOff>323850</xdr:colOff>
      <xdr:row>30</xdr:row>
      <xdr:rowOff>0</xdr:rowOff>
    </xdr:from>
    <xdr:to>
      <xdr:col>18</xdr:col>
      <xdr:colOff>476250</xdr:colOff>
      <xdr:row>30</xdr:row>
      <xdr:rowOff>0</xdr:rowOff>
    </xdr:to>
    <xdr:sp>
      <xdr:nvSpPr>
        <xdr:cNvPr id="8" name="Line 34"/>
        <xdr:cNvSpPr>
          <a:spLocks/>
        </xdr:cNvSpPr>
      </xdr:nvSpPr>
      <xdr:spPr>
        <a:xfrm flipH="1"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30</xdr:row>
      <xdr:rowOff>0</xdr:rowOff>
    </xdr:from>
    <xdr:to>
      <xdr:col>18</xdr:col>
      <xdr:colOff>390525</xdr:colOff>
      <xdr:row>30</xdr:row>
      <xdr:rowOff>0</xdr:rowOff>
    </xdr:to>
    <xdr:sp>
      <xdr:nvSpPr>
        <xdr:cNvPr id="9" name="Line 35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104775" cy="238125"/>
    <xdr:sp fLocksText="0">
      <xdr:nvSpPr>
        <xdr:cNvPr id="10" name="Text Box 36"/>
        <xdr:cNvSpPr txBox="1">
          <a:spLocks noChangeArrowheads="1"/>
        </xdr:cNvSpPr>
      </xdr:nvSpPr>
      <xdr:spPr>
        <a:xfrm>
          <a:off x="5972175" y="6477000"/>
          <a:ext cx="104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371475</xdr:colOff>
      <xdr:row>30</xdr:row>
      <xdr:rowOff>0</xdr:rowOff>
    </xdr:from>
    <xdr:to>
      <xdr:col>17</xdr:col>
      <xdr:colOff>523875</xdr:colOff>
      <xdr:row>30</xdr:row>
      <xdr:rowOff>0</xdr:rowOff>
    </xdr:to>
    <xdr:sp>
      <xdr:nvSpPr>
        <xdr:cNvPr id="11" name="Line 37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390525</xdr:colOff>
      <xdr:row>30</xdr:row>
      <xdr:rowOff>0</xdr:rowOff>
    </xdr:from>
    <xdr:to>
      <xdr:col>17</xdr:col>
      <xdr:colOff>533400</xdr:colOff>
      <xdr:row>30</xdr:row>
      <xdr:rowOff>0</xdr:rowOff>
    </xdr:to>
    <xdr:sp>
      <xdr:nvSpPr>
        <xdr:cNvPr id="12" name="Line 38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30</xdr:row>
      <xdr:rowOff>0</xdr:rowOff>
    </xdr:from>
    <xdr:to>
      <xdr:col>17</xdr:col>
      <xdr:colOff>457200</xdr:colOff>
      <xdr:row>30</xdr:row>
      <xdr:rowOff>0</xdr:rowOff>
    </xdr:to>
    <xdr:sp>
      <xdr:nvSpPr>
        <xdr:cNvPr id="13" name="Line 39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0</xdr:colOff>
      <xdr:row>30</xdr:row>
      <xdr:rowOff>0</xdr:rowOff>
    </xdr:from>
    <xdr:ext cx="104775" cy="238125"/>
    <xdr:sp fLocksText="0">
      <xdr:nvSpPr>
        <xdr:cNvPr id="14" name="Text Box 40"/>
        <xdr:cNvSpPr txBox="1">
          <a:spLocks noChangeArrowheads="1"/>
        </xdr:cNvSpPr>
      </xdr:nvSpPr>
      <xdr:spPr>
        <a:xfrm>
          <a:off x="5972175" y="6477000"/>
          <a:ext cx="104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333375</xdr:colOff>
      <xdr:row>41</xdr:row>
      <xdr:rowOff>0</xdr:rowOff>
    </xdr:from>
    <xdr:ext cx="104775" cy="238125"/>
    <xdr:sp fLocksText="0">
      <xdr:nvSpPr>
        <xdr:cNvPr id="15" name="Text Box 41"/>
        <xdr:cNvSpPr txBox="1">
          <a:spLocks noChangeArrowheads="1"/>
        </xdr:cNvSpPr>
      </xdr:nvSpPr>
      <xdr:spPr>
        <a:xfrm>
          <a:off x="4829175" y="82581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17</xdr:col>
      <xdr:colOff>590550</xdr:colOff>
      <xdr:row>30</xdr:row>
      <xdr:rowOff>0</xdr:rowOff>
    </xdr:from>
    <xdr:to>
      <xdr:col>18</xdr:col>
      <xdr:colOff>495300</xdr:colOff>
      <xdr:row>30</xdr:row>
      <xdr:rowOff>0</xdr:rowOff>
    </xdr:to>
    <xdr:grpSp>
      <xdr:nvGrpSpPr>
        <xdr:cNvPr id="16" name="Group 42"/>
        <xdr:cNvGrpSpPr>
          <a:grpSpLocks/>
        </xdr:cNvGrpSpPr>
      </xdr:nvGrpSpPr>
      <xdr:grpSpPr>
        <a:xfrm>
          <a:off x="5972175" y="6477000"/>
          <a:ext cx="0" cy="0"/>
          <a:chOff x="877" y="970"/>
          <a:chExt cx="54" cy="12"/>
        </a:xfrm>
        <a:solidFill>
          <a:srgbClr val="FFFFFF"/>
        </a:solidFill>
      </xdr:grpSpPr>
      <xdr:sp>
        <xdr:nvSpPr>
          <xdr:cNvPr id="17" name="Line 43"/>
          <xdr:cNvSpPr>
            <a:spLocks/>
          </xdr:cNvSpPr>
        </xdr:nvSpPr>
        <xdr:spPr>
          <a:xfrm>
            <a:off x="877" y="978"/>
            <a:ext cx="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44"/>
          <xdr:cNvSpPr>
            <a:spLocks/>
          </xdr:cNvSpPr>
        </xdr:nvSpPr>
        <xdr:spPr>
          <a:xfrm rot="10800000">
            <a:off x="884" y="970"/>
            <a:ext cx="10" cy="7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5"/>
          <xdr:cNvSpPr>
            <a:spLocks/>
          </xdr:cNvSpPr>
        </xdr:nvSpPr>
        <xdr:spPr>
          <a:xfrm>
            <a:off x="884" y="980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6"/>
          <xdr:cNvSpPr>
            <a:spLocks/>
          </xdr:cNvSpPr>
        </xdr:nvSpPr>
        <xdr:spPr>
          <a:xfrm>
            <a:off x="886" y="982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409575</xdr:colOff>
      <xdr:row>30</xdr:row>
      <xdr:rowOff>0</xdr:rowOff>
    </xdr:from>
    <xdr:to>
      <xdr:col>18</xdr:col>
      <xdr:colOff>419100</xdr:colOff>
      <xdr:row>30</xdr:row>
      <xdr:rowOff>0</xdr:rowOff>
    </xdr:to>
    <xdr:sp>
      <xdr:nvSpPr>
        <xdr:cNvPr id="21" name="Line 47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38100</xdr:colOff>
      <xdr:row>41</xdr:row>
      <xdr:rowOff>28575</xdr:rowOff>
    </xdr:from>
    <xdr:ext cx="152400" cy="161925"/>
    <xdr:sp fLocksText="0">
      <xdr:nvSpPr>
        <xdr:cNvPr id="22" name="Text Box 48"/>
        <xdr:cNvSpPr txBox="1">
          <a:spLocks noChangeArrowheads="1"/>
        </xdr:cNvSpPr>
      </xdr:nvSpPr>
      <xdr:spPr>
        <a:xfrm>
          <a:off x="6600825" y="828675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19</xdr:col>
      <xdr:colOff>0</xdr:colOff>
      <xdr:row>30</xdr:row>
      <xdr:rowOff>0</xdr:rowOff>
    </xdr:from>
    <xdr:to>
      <xdr:col>19</xdr:col>
      <xdr:colOff>0</xdr:colOff>
      <xdr:row>30</xdr:row>
      <xdr:rowOff>0</xdr:rowOff>
    </xdr:to>
    <xdr:sp>
      <xdr:nvSpPr>
        <xdr:cNvPr id="23" name="Line 51"/>
        <xdr:cNvSpPr>
          <a:spLocks/>
        </xdr:cNvSpPr>
      </xdr:nvSpPr>
      <xdr:spPr>
        <a:xfrm flipV="1">
          <a:off x="5972175" y="6477000"/>
          <a:ext cx="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342900</xdr:colOff>
      <xdr:row>30</xdr:row>
      <xdr:rowOff>0</xdr:rowOff>
    </xdr:from>
    <xdr:to>
      <xdr:col>18</xdr:col>
      <xdr:colOff>457200</xdr:colOff>
      <xdr:row>30</xdr:row>
      <xdr:rowOff>0</xdr:rowOff>
    </xdr:to>
    <xdr:sp>
      <xdr:nvSpPr>
        <xdr:cNvPr id="24" name="Line 53"/>
        <xdr:cNvSpPr>
          <a:spLocks/>
        </xdr:cNvSpPr>
      </xdr:nvSpPr>
      <xdr:spPr>
        <a:xfrm>
          <a:off x="5972175" y="6477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457200</xdr:colOff>
      <xdr:row>59</xdr:row>
      <xdr:rowOff>0</xdr:rowOff>
    </xdr:from>
    <xdr:ext cx="95250" cy="219075"/>
    <xdr:sp fLocksText="0">
      <xdr:nvSpPr>
        <xdr:cNvPr id="1" name="Text Box 18"/>
        <xdr:cNvSpPr txBox="1">
          <a:spLocks noChangeArrowheads="1"/>
        </xdr:cNvSpPr>
      </xdr:nvSpPr>
      <xdr:spPr>
        <a:xfrm>
          <a:off x="7296150" y="95726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600075</xdr:colOff>
      <xdr:row>21</xdr:row>
      <xdr:rowOff>66675</xdr:rowOff>
    </xdr:from>
    <xdr:to>
      <xdr:col>2</xdr:col>
      <xdr:colOff>57150</xdr:colOff>
      <xdr:row>22</xdr:row>
      <xdr:rowOff>104775</xdr:rowOff>
    </xdr:to>
    <xdr:sp fLocksText="0">
      <xdr:nvSpPr>
        <xdr:cNvPr id="2" name="Text Box 20"/>
        <xdr:cNvSpPr txBox="1">
          <a:spLocks noChangeArrowheads="1"/>
        </xdr:cNvSpPr>
      </xdr:nvSpPr>
      <xdr:spPr>
        <a:xfrm>
          <a:off x="600075" y="3486150"/>
          <a:ext cx="6762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22</xdr:row>
      <xdr:rowOff>0</xdr:rowOff>
    </xdr:from>
    <xdr:to>
      <xdr:col>9</xdr:col>
      <xdr:colOff>504825</xdr:colOff>
      <xdr:row>33</xdr:row>
      <xdr:rowOff>114300</xdr:rowOff>
    </xdr:to>
    <xdr:sp fLocksText="0">
      <xdr:nvSpPr>
        <xdr:cNvPr id="3" name="Text Box 23"/>
        <xdr:cNvSpPr txBox="1">
          <a:spLocks noChangeArrowheads="1"/>
        </xdr:cNvSpPr>
      </xdr:nvSpPr>
      <xdr:spPr>
        <a:xfrm>
          <a:off x="5734050" y="3581400"/>
          <a:ext cx="390525" cy="1895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590550</xdr:colOff>
      <xdr:row>16</xdr:row>
      <xdr:rowOff>38100</xdr:rowOff>
    </xdr:from>
    <xdr:to>
      <xdr:col>11</xdr:col>
      <xdr:colOff>400050</xdr:colOff>
      <xdr:row>22</xdr:row>
      <xdr:rowOff>66675</xdr:rowOff>
    </xdr:to>
    <xdr:sp fLocksText="0">
      <xdr:nvSpPr>
        <xdr:cNvPr id="4" name="Text Box 24"/>
        <xdr:cNvSpPr txBox="1">
          <a:spLocks noChangeArrowheads="1"/>
        </xdr:cNvSpPr>
      </xdr:nvSpPr>
      <xdr:spPr>
        <a:xfrm>
          <a:off x="6819900" y="2647950"/>
          <a:ext cx="4191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22</xdr:row>
      <xdr:rowOff>9525</xdr:rowOff>
    </xdr:from>
    <xdr:to>
      <xdr:col>10</xdr:col>
      <xdr:colOff>552450</xdr:colOff>
      <xdr:row>23</xdr:row>
      <xdr:rowOff>66675</xdr:rowOff>
    </xdr:to>
    <xdr:sp fLocksText="0">
      <xdr:nvSpPr>
        <xdr:cNvPr id="5" name="Text Box 25"/>
        <xdr:cNvSpPr txBox="1">
          <a:spLocks noChangeArrowheads="1"/>
        </xdr:cNvSpPr>
      </xdr:nvSpPr>
      <xdr:spPr>
        <a:xfrm>
          <a:off x="6096000" y="3590925"/>
          <a:ext cx="685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</xdr:rowOff>
    </xdr:from>
    <xdr:to>
      <xdr:col>11</xdr:col>
      <xdr:colOff>247650</xdr:colOff>
      <xdr:row>23</xdr:row>
      <xdr:rowOff>0</xdr:rowOff>
    </xdr:to>
    <xdr:sp fLocksText="0">
      <xdr:nvSpPr>
        <xdr:cNvPr id="6" name="Text Box 26"/>
        <xdr:cNvSpPr txBox="1">
          <a:spLocks noChangeArrowheads="1"/>
        </xdr:cNvSpPr>
      </xdr:nvSpPr>
      <xdr:spPr>
        <a:xfrm>
          <a:off x="6838950" y="3609975"/>
          <a:ext cx="2476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33</xdr:row>
      <xdr:rowOff>85725</xdr:rowOff>
    </xdr:from>
    <xdr:to>
      <xdr:col>3</xdr:col>
      <xdr:colOff>571500</xdr:colOff>
      <xdr:row>36</xdr:row>
      <xdr:rowOff>104775</xdr:rowOff>
    </xdr:to>
    <xdr:sp fLocksText="0">
      <xdr:nvSpPr>
        <xdr:cNvPr id="7" name="Text Box 29"/>
        <xdr:cNvSpPr txBox="1">
          <a:spLocks noChangeArrowheads="1"/>
        </xdr:cNvSpPr>
      </xdr:nvSpPr>
      <xdr:spPr>
        <a:xfrm>
          <a:off x="1533525" y="5448300"/>
          <a:ext cx="866775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27</xdr:row>
      <xdr:rowOff>57150</xdr:rowOff>
    </xdr:from>
    <xdr:to>
      <xdr:col>4</xdr:col>
      <xdr:colOff>142875</xdr:colOff>
      <xdr:row>33</xdr:row>
      <xdr:rowOff>57150</xdr:rowOff>
    </xdr:to>
    <xdr:sp fLocksText="0">
      <xdr:nvSpPr>
        <xdr:cNvPr id="8" name="Text Box 32"/>
        <xdr:cNvSpPr txBox="1">
          <a:spLocks noChangeArrowheads="1"/>
        </xdr:cNvSpPr>
      </xdr:nvSpPr>
      <xdr:spPr>
        <a:xfrm>
          <a:off x="1333500" y="4448175"/>
          <a:ext cx="13144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17</xdr:row>
      <xdr:rowOff>85725</xdr:rowOff>
    </xdr:from>
    <xdr:to>
      <xdr:col>3</xdr:col>
      <xdr:colOff>390525</xdr:colOff>
      <xdr:row>18</xdr:row>
      <xdr:rowOff>76200</xdr:rowOff>
    </xdr:to>
    <xdr:sp fLocksText="0">
      <xdr:nvSpPr>
        <xdr:cNvPr id="9" name="Text Box 34"/>
        <xdr:cNvSpPr txBox="1">
          <a:spLocks noChangeArrowheads="1"/>
        </xdr:cNvSpPr>
      </xdr:nvSpPr>
      <xdr:spPr>
        <a:xfrm>
          <a:off x="2009775" y="2857500"/>
          <a:ext cx="209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22</xdr:row>
      <xdr:rowOff>47625</xdr:rowOff>
    </xdr:from>
    <xdr:to>
      <xdr:col>11</xdr:col>
      <xdr:colOff>304800</xdr:colOff>
      <xdr:row>22</xdr:row>
      <xdr:rowOff>123825</xdr:rowOff>
    </xdr:to>
    <xdr:sp fLocksText="0">
      <xdr:nvSpPr>
        <xdr:cNvPr id="10" name="Text Box 35"/>
        <xdr:cNvSpPr txBox="1">
          <a:spLocks noChangeArrowheads="1"/>
        </xdr:cNvSpPr>
      </xdr:nvSpPr>
      <xdr:spPr>
        <a:xfrm>
          <a:off x="7029450" y="3629025"/>
          <a:ext cx="1143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17</xdr:col>
      <xdr:colOff>466725</xdr:colOff>
      <xdr:row>51</xdr:row>
      <xdr:rowOff>95250</xdr:rowOff>
    </xdr:to>
    <xdr:grpSp>
      <xdr:nvGrpSpPr>
        <xdr:cNvPr id="11" name="Group 35"/>
        <xdr:cNvGrpSpPr>
          <a:grpSpLocks/>
        </xdr:cNvGrpSpPr>
      </xdr:nvGrpSpPr>
      <xdr:grpSpPr>
        <a:xfrm>
          <a:off x="0" y="2133600"/>
          <a:ext cx="10963275" cy="6238875"/>
          <a:chOff x="0" y="2019300"/>
          <a:chExt cx="10789444" cy="5457825"/>
        </a:xfrm>
        <a:solidFill>
          <a:srgbClr val="FFFFFF"/>
        </a:solidFill>
      </xdr:grpSpPr>
      <xdr:grpSp>
        <xdr:nvGrpSpPr>
          <xdr:cNvPr id="12" name="Group 1"/>
          <xdr:cNvGrpSpPr>
            <a:grpSpLocks/>
          </xdr:cNvGrpSpPr>
        </xdr:nvGrpSpPr>
        <xdr:grpSpPr>
          <a:xfrm>
            <a:off x="0" y="2019300"/>
            <a:ext cx="10789444" cy="5457825"/>
            <a:chOff x="0" y="223"/>
            <a:chExt cx="1097" cy="529"/>
          </a:xfrm>
          <a:solidFill>
            <a:srgbClr val="FFFFFF"/>
          </a:solidFill>
        </xdr:grpSpPr>
        <xdr:grpSp>
          <xdr:nvGrpSpPr>
            <xdr:cNvPr id="13" name="Group 2"/>
            <xdr:cNvGrpSpPr>
              <a:grpSpLocks/>
            </xdr:cNvGrpSpPr>
          </xdr:nvGrpSpPr>
          <xdr:grpSpPr>
            <a:xfrm>
              <a:off x="0" y="223"/>
              <a:ext cx="555" cy="529"/>
              <a:chOff x="0" y="221"/>
              <a:chExt cx="555" cy="529"/>
            </a:xfrm>
            <a:solidFill>
              <a:srgbClr val="FFFFFF"/>
            </a:solidFill>
          </xdr:grpSpPr>
          <xdr:grpSp>
            <xdr:nvGrpSpPr>
              <xdr:cNvPr id="14" name="Group 3"/>
              <xdr:cNvGrpSpPr>
                <a:grpSpLocks/>
              </xdr:cNvGrpSpPr>
            </xdr:nvGrpSpPr>
            <xdr:grpSpPr>
              <a:xfrm>
                <a:off x="0" y="244"/>
                <a:ext cx="555" cy="506"/>
                <a:chOff x="0" y="205"/>
                <a:chExt cx="555" cy="506"/>
              </a:xfrm>
              <a:solidFill>
                <a:srgbClr val="FFFFFF"/>
              </a:solidFill>
            </xdr:grpSpPr>
            <xdr:pic>
              <xdr:nvPicPr>
                <xdr:cNvPr id="15" name="Picture 4"/>
                <xdr:cNvPicPr preferRelativeResize="1">
                  <a:picLocks noChangeAspect="1"/>
                </xdr:cNvPicPr>
              </xdr:nvPicPr>
              <xdr:blipFill>
                <a:blip r:embed="rId1"/>
                <a:stretch>
                  <a:fillRect/>
                </a:stretch>
              </xdr:blipFill>
              <xdr:spPr>
                <a:xfrm>
                  <a:off x="0" y="205"/>
                  <a:ext cx="555" cy="50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16" name="Text Box 5"/>
                <xdr:cNvSpPr txBox="1">
                  <a:spLocks noChangeArrowheads="1"/>
                </xdr:cNvSpPr>
              </xdr:nvSpPr>
              <xdr:spPr>
                <a:xfrm>
                  <a:off x="149" y="226"/>
                  <a:ext cx="18" cy="1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</a:rPr>
                    <a:t>l</a:t>
                  </a:r>
                </a:p>
              </xdr:txBody>
            </xdr:sp>
            <xdr:sp>
              <xdr:nvSpPr>
                <xdr:cNvPr id="17" name="Text Box 6"/>
                <xdr:cNvSpPr txBox="1">
                  <a:spLocks noChangeArrowheads="1"/>
                </xdr:cNvSpPr>
              </xdr:nvSpPr>
              <xdr:spPr>
                <a:xfrm>
                  <a:off x="138" y="322"/>
                  <a:ext cx="22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w</a:t>
                  </a:r>
                  <a:r>
                    <a:rPr lang="en-US" cap="none" sz="8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2</a:t>
                  </a:r>
                </a:p>
              </xdr:txBody>
            </xdr:sp>
            <xdr:sp>
              <xdr:nvSpPr>
                <xdr:cNvPr id="18" name="Text Box 7"/>
                <xdr:cNvSpPr txBox="1">
                  <a:spLocks noChangeArrowheads="1"/>
                </xdr:cNvSpPr>
              </xdr:nvSpPr>
              <xdr:spPr>
                <a:xfrm>
                  <a:off x="24" y="243"/>
                  <a:ext cx="98" cy="2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w</a:t>
                  </a:r>
                  <a:r>
                    <a:rPr lang="en-US" cap="none" sz="9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3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 = 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Symbol"/>
                      <a:ea typeface="Symbol"/>
                      <a:cs typeface="Symbol"/>
                    </a:rPr>
                    <a:t>g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(h-H)(L-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Symbol"/>
                      <a:ea typeface="Symbol"/>
                      <a:cs typeface="Symbol"/>
                    </a:rPr>
                    <a:t>l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)</a:t>
                  </a:r>
                </a:p>
              </xdr:txBody>
            </xdr:sp>
            <xdr:sp>
              <xdr:nvSpPr>
                <xdr:cNvPr id="19" name="Text Box 8"/>
                <xdr:cNvSpPr txBox="1">
                  <a:spLocks noChangeArrowheads="1"/>
                </xdr:cNvSpPr>
              </xdr:nvSpPr>
              <xdr:spPr>
                <a:xfrm>
                  <a:off x="211" y="338"/>
                  <a:ext cx="19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w</a:t>
                  </a:r>
                  <a:r>
                    <a:rPr lang="en-US" cap="none" sz="8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3</a:t>
                  </a:r>
                </a:p>
              </xdr:txBody>
            </xdr:sp>
            <xdr:sp>
              <xdr:nvSpPr>
                <xdr:cNvPr id="20" name="Text Box 9"/>
                <xdr:cNvSpPr txBox="1">
                  <a:spLocks noChangeArrowheads="1"/>
                </xdr:cNvSpPr>
              </xdr:nvSpPr>
              <xdr:spPr>
                <a:xfrm>
                  <a:off x="20" y="218"/>
                  <a:ext cx="110" cy="2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 w</a:t>
                  </a:r>
                  <a:r>
                    <a:rPr lang="en-US" cap="none" sz="9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2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 = 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Symbol"/>
                      <a:ea typeface="Symbol"/>
                      <a:cs typeface="Symbol"/>
                    </a:rPr>
                    <a:t>g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(h-H)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Symbol"/>
                      <a:ea typeface="Symbol"/>
                      <a:cs typeface="Symbol"/>
                    </a:rPr>
                    <a:t>l</a:t>
                  </a: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*0.5</a:t>
                  </a:r>
                </a:p>
              </xdr:txBody>
            </xdr:sp>
            <xdr:sp>
              <xdr:nvSpPr>
                <xdr:cNvPr id="21" name="Text Box 10"/>
                <xdr:cNvSpPr txBox="1">
                  <a:spLocks noChangeArrowheads="1"/>
                </xdr:cNvSpPr>
              </xdr:nvSpPr>
              <xdr:spPr>
                <a:xfrm>
                  <a:off x="166" y="453"/>
                  <a:ext cx="22" cy="20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w</a:t>
                  </a:r>
                  <a:r>
                    <a:rPr lang="en-US" cap="none" sz="8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1</a:t>
                  </a:r>
                </a:p>
              </xdr:txBody>
            </xdr:sp>
          </xdr:grpSp>
          <xdr:sp>
            <xdr:nvSpPr>
              <xdr:cNvPr id="22" name="Text Box 11"/>
              <xdr:cNvSpPr txBox="1">
                <a:spLocks noChangeArrowheads="1"/>
              </xdr:cNvSpPr>
            </xdr:nvSpPr>
            <xdr:spPr>
              <a:xfrm>
                <a:off x="69" y="221"/>
                <a:ext cx="400" cy="2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BROKEN-BACK BACK FILL CASE WITH TRAFFIC SURCHARGE</a:t>
                </a:r>
              </a:p>
            </xdr:txBody>
          </xdr:sp>
        </xdr:grpSp>
        <xdr:grpSp>
          <xdr:nvGrpSpPr>
            <xdr:cNvPr id="23" name="Group 12"/>
            <xdr:cNvGrpSpPr>
              <a:grpSpLocks/>
            </xdr:cNvGrpSpPr>
          </xdr:nvGrpSpPr>
          <xdr:grpSpPr>
            <a:xfrm>
              <a:off x="577" y="223"/>
              <a:ext cx="520" cy="500"/>
              <a:chOff x="577" y="221"/>
              <a:chExt cx="520" cy="500"/>
            </a:xfrm>
            <a:solidFill>
              <a:srgbClr val="FFFFFF"/>
            </a:solidFill>
          </xdr:grpSpPr>
          <xdr:grpSp>
            <xdr:nvGrpSpPr>
              <xdr:cNvPr id="24" name="Group 13"/>
              <xdr:cNvGrpSpPr>
                <a:grpSpLocks/>
              </xdr:cNvGrpSpPr>
            </xdr:nvGrpSpPr>
            <xdr:grpSpPr>
              <a:xfrm>
                <a:off x="577" y="242"/>
                <a:ext cx="520" cy="479"/>
                <a:chOff x="578" y="265"/>
                <a:chExt cx="520" cy="479"/>
              </a:xfrm>
              <a:solidFill>
                <a:srgbClr val="FFFFFF"/>
              </a:solidFill>
            </xdr:grpSpPr>
            <xdr:pic>
              <xdr:nvPicPr>
                <xdr:cNvPr id="25" name="Picture 14"/>
                <xdr:cNvPicPr preferRelativeResize="1">
                  <a:picLocks noChangeAspect="1"/>
                </xdr:cNvPicPr>
              </xdr:nvPicPr>
              <xdr:blipFill>
                <a:blip r:embed="rId2"/>
                <a:stretch>
                  <a:fillRect/>
                </a:stretch>
              </xdr:blipFill>
              <xdr:spPr>
                <a:xfrm>
                  <a:off x="578" y="265"/>
                  <a:ext cx="520" cy="47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</xdr:pic>
            <xdr:sp>
              <xdr:nvSpPr>
                <xdr:cNvPr id="26" name="Text Box 15"/>
                <xdr:cNvSpPr txBox="1">
                  <a:spLocks noChangeArrowheads="1"/>
                </xdr:cNvSpPr>
              </xdr:nvSpPr>
              <xdr:spPr>
                <a:xfrm>
                  <a:off x="721" y="516"/>
                  <a:ext cx="20" cy="19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w</a:t>
                  </a:r>
                  <a:r>
                    <a:rPr lang="en-US" cap="none" sz="8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1</a:t>
                  </a:r>
                </a:p>
              </xdr:txBody>
            </xdr:sp>
            <xdr:sp>
              <xdr:nvSpPr>
                <xdr:cNvPr id="27" name="Text Box 16"/>
                <xdr:cNvSpPr txBox="1">
                  <a:spLocks noChangeArrowheads="1"/>
                </xdr:cNvSpPr>
              </xdr:nvSpPr>
              <xdr:spPr>
                <a:xfrm>
                  <a:off x="753" y="411"/>
                  <a:ext cx="22" cy="17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22860" rIns="0" bIns="0"/>
                <a:p>
                  <a:pPr algn="l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w</a:t>
                  </a:r>
                  <a:r>
                    <a:rPr lang="en-US" cap="none" sz="800" b="0" i="0" u="none" baseline="-2500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rPr>
                    <a:t>2</a:t>
                  </a:r>
                </a:p>
              </xdr:txBody>
            </xdr:sp>
          </xdr:grpSp>
          <xdr:sp>
            <xdr:nvSpPr>
              <xdr:cNvPr id="28" name="Text Box 17"/>
              <xdr:cNvSpPr txBox="1">
                <a:spLocks noChangeArrowheads="1"/>
              </xdr:cNvSpPr>
            </xdr:nvSpPr>
            <xdr:spPr>
              <a:xfrm>
                <a:off x="628" y="221"/>
                <a:ext cx="420" cy="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BROKEN-BACK BACK FILL CASE WITHOUT TRAFFIC SURCHARGE</a:t>
                </a:r>
              </a:p>
            </xdr:txBody>
          </xdr:sp>
        </xdr:grpSp>
      </xdr:grpSp>
      <xdr:sp fLocksText="0">
        <xdr:nvSpPr>
          <xdr:cNvPr id="29" name="Text Box 19"/>
          <xdr:cNvSpPr txBox="1">
            <a:spLocks noChangeArrowheads="1"/>
          </xdr:cNvSpPr>
        </xdr:nvSpPr>
        <xdr:spPr>
          <a:xfrm>
            <a:off x="180723" y="3614349"/>
            <a:ext cx="445065" cy="20002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21"/>
          <xdr:cNvSpPr txBox="1">
            <a:spLocks noChangeArrowheads="1"/>
          </xdr:cNvSpPr>
        </xdr:nvSpPr>
        <xdr:spPr>
          <a:xfrm>
            <a:off x="1319010" y="2762929"/>
            <a:ext cx="436972" cy="6481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1" name="Text Box 22"/>
          <xdr:cNvSpPr txBox="1">
            <a:spLocks noChangeArrowheads="1"/>
          </xdr:cNvSpPr>
        </xdr:nvSpPr>
        <xdr:spPr>
          <a:xfrm>
            <a:off x="561051" y="6500174"/>
            <a:ext cx="3037228" cy="41888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2" name="Text Box 27"/>
          <xdr:cNvSpPr txBox="1">
            <a:spLocks noChangeArrowheads="1"/>
          </xdr:cNvSpPr>
        </xdr:nvSpPr>
        <xdr:spPr>
          <a:xfrm>
            <a:off x="6160773" y="6253208"/>
            <a:ext cx="2770190" cy="4147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3" name="Text Box 30"/>
          <xdr:cNvSpPr txBox="1">
            <a:spLocks noChangeArrowheads="1"/>
          </xdr:cNvSpPr>
        </xdr:nvSpPr>
        <xdr:spPr>
          <a:xfrm>
            <a:off x="6840507" y="4595393"/>
            <a:ext cx="1122102" cy="9428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Box 33"/>
          <xdr:cNvSpPr txBox="1">
            <a:spLocks noChangeArrowheads="1"/>
          </xdr:cNvSpPr>
        </xdr:nvSpPr>
        <xdr:spPr>
          <a:xfrm>
            <a:off x="7040112" y="5566886"/>
            <a:ext cx="720195" cy="4912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5" name="Text Box 36"/>
          <xdr:cNvSpPr txBox="1">
            <a:spLocks noChangeArrowheads="1"/>
          </xdr:cNvSpPr>
        </xdr:nvSpPr>
        <xdr:spPr>
          <a:xfrm>
            <a:off x="180723" y="2361779"/>
            <a:ext cx="1100523" cy="55669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List1" displayName="List1" ref="BT13:BT126" totalsRowShown="0">
  <autoFilter ref="BT13:BT126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table" Target="../tables/table1.x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3"/>
  <sheetViews>
    <sheetView tabSelected="1" zoomScale="85" zoomScaleNormal="85" zoomScaleSheetLayoutView="75" zoomScalePageLayoutView="0" workbookViewId="0" topLeftCell="A1">
      <selection activeCell="G3" sqref="G3"/>
    </sheetView>
  </sheetViews>
  <sheetFormatPr defaultColWidth="9.140625" defaultRowHeight="12.75"/>
  <cols>
    <col min="1" max="1" width="1.7109375" style="47" customWidth="1"/>
    <col min="2" max="2" width="6.7109375" style="45" customWidth="1"/>
    <col min="3" max="3" width="8.7109375" style="47" customWidth="1"/>
    <col min="4" max="6" width="8.7109375" style="108" customWidth="1"/>
    <col min="7" max="7" width="13.8515625" style="47" bestFit="1" customWidth="1"/>
    <col min="8" max="8" width="9.8515625" style="47" customWidth="1"/>
    <col min="9" max="10" width="9.7109375" style="47" bestFit="1" customWidth="1"/>
    <col min="11" max="11" width="10.00390625" style="47" customWidth="1"/>
    <col min="12" max="13" width="8.7109375" style="108" customWidth="1"/>
    <col min="14" max="15" width="8.7109375" style="108" hidden="1" customWidth="1"/>
    <col min="16" max="16" width="7.7109375" style="108" customWidth="1"/>
    <col min="17" max="19" width="9.57421875" style="47" customWidth="1"/>
    <col min="20" max="20" width="9.57421875" style="47" hidden="1" customWidth="1"/>
    <col min="21" max="24" width="9.57421875" style="47" customWidth="1"/>
    <col min="25" max="25" width="8.8515625" style="47" hidden="1" customWidth="1"/>
    <col min="26" max="26" width="9.140625" style="111" hidden="1" customWidth="1"/>
    <col min="27" max="27" width="9.421875" style="47" customWidth="1"/>
    <col min="28" max="28" width="9.140625" style="47" customWidth="1"/>
    <col min="29" max="29" width="9.421875" style="47" hidden="1" customWidth="1"/>
    <col min="30" max="30" width="9.140625" style="107" customWidth="1"/>
    <col min="31" max="31" width="8.8515625" style="107" hidden="1" customWidth="1"/>
    <col min="32" max="32" width="4.421875" style="45" customWidth="1"/>
    <col min="33" max="33" width="8.8515625" style="47" hidden="1" customWidth="1"/>
    <col min="34" max="34" width="10.57421875" style="47" bestFit="1" customWidth="1"/>
    <col min="35" max="35" width="8.8515625" style="47" customWidth="1"/>
    <col min="36" max="36" width="8.8515625" style="47" hidden="1" customWidth="1"/>
    <col min="37" max="37" width="9.00390625" style="47" customWidth="1"/>
    <col min="38" max="38" width="10.7109375" style="47" customWidth="1"/>
    <col min="39" max="43" width="9.00390625" style="47" customWidth="1"/>
    <col min="44" max="45" width="9.00390625" style="47" hidden="1" customWidth="1"/>
    <col min="46" max="46" width="9.00390625" style="47" customWidth="1"/>
    <col min="47" max="48" width="9.00390625" style="47" hidden="1" customWidth="1"/>
    <col min="49" max="51" width="9.7109375" style="47" customWidth="1"/>
    <col min="52" max="52" width="10.140625" style="47" customWidth="1"/>
    <col min="53" max="54" width="11.8515625" style="47" customWidth="1"/>
    <col min="55" max="56" width="11.140625" style="47" customWidth="1"/>
    <col min="57" max="59" width="9.00390625" style="47" customWidth="1"/>
    <col min="60" max="60" width="9.00390625" style="47" hidden="1" customWidth="1"/>
    <col min="61" max="63" width="9.00390625" style="47" customWidth="1"/>
    <col min="64" max="64" width="9.28125" style="47" hidden="1" customWidth="1"/>
    <col min="65" max="65" width="8.7109375" style="47" customWidth="1"/>
    <col min="66" max="66" width="9.28125" style="47" hidden="1" customWidth="1"/>
    <col min="67" max="67" width="8.57421875" style="47" customWidth="1"/>
    <col min="68" max="68" width="8.140625" style="47" hidden="1" customWidth="1"/>
    <col min="69" max="69" width="8.7109375" style="47" customWidth="1"/>
    <col min="70" max="72" width="3.7109375" style="47" hidden="1" customWidth="1"/>
    <col min="73" max="73" width="8.8515625" style="47" hidden="1" customWidth="1"/>
    <col min="74" max="74" width="11.00390625" style="47" hidden="1" customWidth="1"/>
    <col min="75" max="82" width="9.140625" style="47" hidden="1" customWidth="1"/>
    <col min="83" max="83" width="11.28125" style="47" hidden="1" customWidth="1"/>
    <col min="84" max="84" width="9.140625" style="47" hidden="1" customWidth="1"/>
    <col min="85" max="85" width="9.8515625" style="47" hidden="1" customWidth="1"/>
    <col min="86" max="86" width="14.7109375" style="47" hidden="1" customWidth="1"/>
    <col min="87" max="87" width="11.28125" style="47" hidden="1" customWidth="1"/>
    <col min="88" max="89" width="9.140625" style="47" hidden="1" customWidth="1"/>
    <col min="90" max="90" width="14.7109375" style="47" hidden="1" customWidth="1"/>
    <col min="91" max="16384" width="9.140625" style="47" customWidth="1"/>
  </cols>
  <sheetData>
    <row r="1" spans="1:73" ht="12.75">
      <c r="A1" s="45" t="s">
        <v>61</v>
      </c>
      <c r="B1" s="45" t="s">
        <v>61</v>
      </c>
      <c r="C1" s="46" t="s">
        <v>61</v>
      </c>
      <c r="D1" s="105" t="s">
        <v>61</v>
      </c>
      <c r="E1" s="105" t="s">
        <v>61</v>
      </c>
      <c r="F1" s="105" t="s">
        <v>61</v>
      </c>
      <c r="G1" s="46" t="s">
        <v>61</v>
      </c>
      <c r="H1" s="46"/>
      <c r="I1" s="46" t="s">
        <v>61</v>
      </c>
      <c r="J1" s="46" t="s">
        <v>61</v>
      </c>
      <c r="K1" s="46" t="s">
        <v>61</v>
      </c>
      <c r="L1" s="105" t="s">
        <v>61</v>
      </c>
      <c r="M1" s="105"/>
      <c r="N1" s="105"/>
      <c r="O1" s="105"/>
      <c r="P1" s="105" t="s">
        <v>61</v>
      </c>
      <c r="Q1" s="46" t="s">
        <v>61</v>
      </c>
      <c r="R1" s="46" t="s">
        <v>61</v>
      </c>
      <c r="S1" s="46" t="s">
        <v>61</v>
      </c>
      <c r="T1" s="46" t="s">
        <v>61</v>
      </c>
      <c r="U1" s="46" t="s">
        <v>61</v>
      </c>
      <c r="V1" s="46" t="s">
        <v>61</v>
      </c>
      <c r="W1" s="46" t="s">
        <v>61</v>
      </c>
      <c r="X1" s="46" t="s">
        <v>61</v>
      </c>
      <c r="Y1" s="46"/>
      <c r="Z1" s="106"/>
      <c r="AA1" s="46" t="s">
        <v>61</v>
      </c>
      <c r="AB1" s="46" t="s">
        <v>61</v>
      </c>
      <c r="AC1" s="195" t="s">
        <v>61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274" t="s">
        <v>260</v>
      </c>
      <c r="BP1" s="274"/>
      <c r="BQ1" s="274"/>
      <c r="BR1" s="46" t="s">
        <v>0</v>
      </c>
      <c r="BS1" s="46" t="s">
        <v>0</v>
      </c>
      <c r="BT1" s="46" t="s">
        <v>0</v>
      </c>
      <c r="BU1" s="47" t="s">
        <v>1</v>
      </c>
    </row>
    <row r="2" spans="1:73" ht="18">
      <c r="A2" s="45" t="s">
        <v>61</v>
      </c>
      <c r="J2" s="109" t="s">
        <v>99</v>
      </c>
      <c r="K2" s="110"/>
      <c r="L2" s="196"/>
      <c r="M2" s="196"/>
      <c r="N2" s="196"/>
      <c r="O2" s="196"/>
      <c r="P2" s="196"/>
      <c r="Q2" s="196"/>
      <c r="R2" s="71"/>
      <c r="U2" s="71"/>
      <c r="V2" s="71"/>
      <c r="W2" s="71"/>
      <c r="AB2" s="47" t="s">
        <v>100</v>
      </c>
      <c r="AC2" s="47" t="s">
        <v>61</v>
      </c>
      <c r="AH2" s="275" t="s">
        <v>259</v>
      </c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U2" s="47" t="s">
        <v>1</v>
      </c>
    </row>
    <row r="3" spans="1:73" ht="15">
      <c r="A3" s="45" t="s">
        <v>61</v>
      </c>
      <c r="M3" s="197" t="s">
        <v>292</v>
      </c>
      <c r="Q3" s="198"/>
      <c r="R3" s="71"/>
      <c r="S3" s="71"/>
      <c r="T3" s="71"/>
      <c r="U3" s="71"/>
      <c r="V3" s="71"/>
      <c r="W3" s="71"/>
      <c r="AC3" s="47" t="s">
        <v>61</v>
      </c>
      <c r="AH3" s="276" t="str">
        <f>M3</f>
        <v>version 2.5.1</v>
      </c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U3" s="47" t="s">
        <v>1</v>
      </c>
    </row>
    <row r="4" spans="1:73" ht="15">
      <c r="A4" s="45" t="s">
        <v>61</v>
      </c>
      <c r="J4" s="70"/>
      <c r="K4" s="112"/>
      <c r="L4" s="71"/>
      <c r="M4" s="71"/>
      <c r="N4" s="71"/>
      <c r="O4" s="71"/>
      <c r="P4" s="71"/>
      <c r="Q4" s="71"/>
      <c r="R4" s="71"/>
      <c r="U4" s="199"/>
      <c r="V4" s="199"/>
      <c r="W4" s="71"/>
      <c r="AA4" s="63"/>
      <c r="AC4" s="47" t="s">
        <v>61</v>
      </c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U4" s="47" t="s">
        <v>1</v>
      </c>
    </row>
    <row r="5" spans="1:90" ht="15">
      <c r="A5" s="45" t="s">
        <v>61</v>
      </c>
      <c r="B5" s="48"/>
      <c r="C5" s="6"/>
      <c r="D5" s="200"/>
      <c r="E5" s="200" t="s">
        <v>61</v>
      </c>
      <c r="F5" s="200"/>
      <c r="G5" s="6"/>
      <c r="H5" s="6"/>
      <c r="I5" s="6"/>
      <c r="J5" s="6"/>
      <c r="K5" s="6"/>
      <c r="L5" s="201"/>
      <c r="M5" s="201"/>
      <c r="N5" s="201"/>
      <c r="O5" s="201"/>
      <c r="P5" s="201"/>
      <c r="Q5" s="202"/>
      <c r="R5" s="202"/>
      <c r="S5" s="202"/>
      <c r="T5" s="202"/>
      <c r="U5" s="202"/>
      <c r="V5" s="202"/>
      <c r="W5" s="202"/>
      <c r="X5" s="6"/>
      <c r="Y5" s="6"/>
      <c r="Z5" s="113"/>
      <c r="AA5" s="6"/>
      <c r="AB5" s="6"/>
      <c r="AC5" s="47" t="s">
        <v>61</v>
      </c>
      <c r="AR5" s="68" t="s">
        <v>198</v>
      </c>
      <c r="AS5" s="69"/>
      <c r="AT5" s="3"/>
      <c r="AU5" s="68" t="s">
        <v>199</v>
      </c>
      <c r="AV5" s="69"/>
      <c r="AW5" s="3"/>
      <c r="AX5" s="3"/>
      <c r="AY5" s="3"/>
      <c r="AZ5" s="3"/>
      <c r="BA5" s="3"/>
      <c r="BB5" s="3"/>
      <c r="BN5" s="70"/>
      <c r="BO5" s="71"/>
      <c r="BP5" s="71"/>
      <c r="BQ5" s="71"/>
      <c r="BU5" s="47" t="s">
        <v>1</v>
      </c>
      <c r="BY5" s="203" t="s">
        <v>147</v>
      </c>
      <c r="BZ5" s="204"/>
      <c r="CA5" s="204"/>
      <c r="CB5" s="204"/>
      <c r="CC5" s="205"/>
      <c r="CD5" s="204"/>
      <c r="CE5" s="203" t="s">
        <v>203</v>
      </c>
      <c r="CF5" s="204"/>
      <c r="CG5" s="204"/>
      <c r="CH5" s="204"/>
      <c r="CI5" s="203" t="s">
        <v>157</v>
      </c>
      <c r="CJ5" s="204"/>
      <c r="CK5" s="204"/>
      <c r="CL5" s="204"/>
    </row>
    <row r="6" spans="1:90" ht="14.25">
      <c r="A6" s="45" t="s">
        <v>61</v>
      </c>
      <c r="B6" s="35"/>
      <c r="C6" s="36"/>
      <c r="D6" s="206"/>
      <c r="E6" s="12"/>
      <c r="F6" s="206"/>
      <c r="G6" s="114" t="s">
        <v>288</v>
      </c>
      <c r="H6" s="36"/>
      <c r="I6" s="36"/>
      <c r="J6" s="36"/>
      <c r="K6" s="36"/>
      <c r="L6" s="206"/>
      <c r="M6" s="206"/>
      <c r="N6" s="206"/>
      <c r="O6" s="206"/>
      <c r="P6" s="207" t="s">
        <v>2</v>
      </c>
      <c r="Q6" s="208"/>
      <c r="R6" s="208"/>
      <c r="S6" s="209" t="s">
        <v>2</v>
      </c>
      <c r="T6" s="208"/>
      <c r="U6" s="208"/>
      <c r="V6" s="209" t="s">
        <v>2</v>
      </c>
      <c r="W6" s="208"/>
      <c r="X6" s="209" t="s">
        <v>7</v>
      </c>
      <c r="Y6" s="3"/>
      <c r="Z6" s="115"/>
      <c r="AA6" s="208"/>
      <c r="AB6" s="208"/>
      <c r="AC6" s="47" t="s">
        <v>61</v>
      </c>
      <c r="AD6" s="116"/>
      <c r="AH6" s="36"/>
      <c r="AI6" s="36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3"/>
      <c r="BJ6" s="73"/>
      <c r="BK6" s="73"/>
      <c r="BL6" s="73"/>
      <c r="BM6" s="74"/>
      <c r="BN6" s="36"/>
      <c r="BO6" s="36"/>
      <c r="BP6" s="75"/>
      <c r="BQ6" s="75"/>
      <c r="BR6" s="155"/>
      <c r="BS6" s="155" t="s">
        <v>3</v>
      </c>
      <c r="BT6" s="155" t="s">
        <v>4</v>
      </c>
      <c r="BU6" s="74" t="s">
        <v>1</v>
      </c>
      <c r="BV6" s="210" t="s">
        <v>142</v>
      </c>
      <c r="BW6" s="211" t="s">
        <v>134</v>
      </c>
      <c r="BX6" s="210" t="s">
        <v>136</v>
      </c>
      <c r="BY6" s="212" t="s">
        <v>143</v>
      </c>
      <c r="BZ6" s="154" t="s">
        <v>148</v>
      </c>
      <c r="CA6" s="154" t="s">
        <v>148</v>
      </c>
      <c r="CB6" s="154" t="s">
        <v>143</v>
      </c>
      <c r="CC6" s="154" t="s">
        <v>148</v>
      </c>
      <c r="CD6" s="154" t="s">
        <v>186</v>
      </c>
      <c r="CE6" s="36" t="s">
        <v>154</v>
      </c>
      <c r="CF6" s="36" t="s">
        <v>200</v>
      </c>
      <c r="CG6" s="36" t="s">
        <v>206</v>
      </c>
      <c r="CH6" s="36" t="s">
        <v>156</v>
      </c>
      <c r="CI6" s="36" t="s">
        <v>154</v>
      </c>
      <c r="CJ6" s="36" t="s">
        <v>205</v>
      </c>
      <c r="CK6" s="36" t="s">
        <v>207</v>
      </c>
      <c r="CL6" s="36" t="s">
        <v>264</v>
      </c>
    </row>
    <row r="7" spans="1:90" ht="12.75">
      <c r="A7" s="45" t="s">
        <v>61</v>
      </c>
      <c r="B7" s="37"/>
      <c r="C7" s="38" t="s">
        <v>61</v>
      </c>
      <c r="D7" s="213" t="s">
        <v>2</v>
      </c>
      <c r="E7" s="13" t="s">
        <v>2</v>
      </c>
      <c r="F7" s="213" t="s">
        <v>2</v>
      </c>
      <c r="G7" s="117" t="s">
        <v>291</v>
      </c>
      <c r="H7" s="39" t="s">
        <v>5</v>
      </c>
      <c r="I7" s="39" t="s">
        <v>93</v>
      </c>
      <c r="J7" s="76"/>
      <c r="K7" s="39" t="s">
        <v>6</v>
      </c>
      <c r="L7" s="213" t="s">
        <v>2</v>
      </c>
      <c r="M7" s="213" t="s">
        <v>2</v>
      </c>
      <c r="N7" s="213"/>
      <c r="O7" s="213"/>
      <c r="P7" s="214" t="s">
        <v>87</v>
      </c>
      <c r="Q7" s="215" t="s">
        <v>2</v>
      </c>
      <c r="R7" s="215" t="s">
        <v>2</v>
      </c>
      <c r="S7" s="216" t="s">
        <v>57</v>
      </c>
      <c r="T7" s="215" t="s">
        <v>2</v>
      </c>
      <c r="U7" s="215" t="s">
        <v>2</v>
      </c>
      <c r="V7" s="216" t="s">
        <v>57</v>
      </c>
      <c r="W7" s="215" t="s">
        <v>2</v>
      </c>
      <c r="X7" s="216" t="s">
        <v>57</v>
      </c>
      <c r="Y7" s="84" t="s">
        <v>2</v>
      </c>
      <c r="Z7" s="115"/>
      <c r="AA7" s="215" t="s">
        <v>2</v>
      </c>
      <c r="AB7" s="215" t="s">
        <v>2</v>
      </c>
      <c r="AC7" s="47" t="s">
        <v>61</v>
      </c>
      <c r="AD7" s="118"/>
      <c r="AH7" s="76"/>
      <c r="AI7" s="39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8"/>
      <c r="BJ7" s="78"/>
      <c r="BK7" s="78"/>
      <c r="BL7" s="78"/>
      <c r="BM7" s="3"/>
      <c r="BN7" s="76"/>
      <c r="BO7" s="76"/>
      <c r="BP7" s="79"/>
      <c r="BQ7" s="79"/>
      <c r="BR7" s="84" t="s">
        <v>8</v>
      </c>
      <c r="BS7" s="84" t="s">
        <v>9</v>
      </c>
      <c r="BT7" s="84" t="s">
        <v>10</v>
      </c>
      <c r="BU7" s="3" t="s">
        <v>1</v>
      </c>
      <c r="BV7" s="86" t="s">
        <v>139</v>
      </c>
      <c r="BW7" s="217" t="s">
        <v>131</v>
      </c>
      <c r="BX7" s="86" t="s">
        <v>137</v>
      </c>
      <c r="BY7" s="218" t="s">
        <v>144</v>
      </c>
      <c r="BZ7" s="39" t="s">
        <v>144</v>
      </c>
      <c r="CA7" s="84" t="s">
        <v>145</v>
      </c>
      <c r="CB7" s="39" t="s">
        <v>146</v>
      </c>
      <c r="CC7" s="82" t="s">
        <v>146</v>
      </c>
      <c r="CD7" s="82" t="s">
        <v>146</v>
      </c>
      <c r="CE7" s="219" t="s">
        <v>155</v>
      </c>
      <c r="CF7" s="76"/>
      <c r="CG7" s="76"/>
      <c r="CH7" s="76"/>
      <c r="CI7" s="219" t="s">
        <v>204</v>
      </c>
      <c r="CJ7" s="76"/>
      <c r="CK7" s="76"/>
      <c r="CL7" s="76"/>
    </row>
    <row r="8" spans="1:90" ht="15.75">
      <c r="A8" s="45" t="s">
        <v>61</v>
      </c>
      <c r="B8" s="37"/>
      <c r="C8" s="39" t="s">
        <v>81</v>
      </c>
      <c r="D8" s="214" t="s">
        <v>11</v>
      </c>
      <c r="E8" s="14" t="s">
        <v>12</v>
      </c>
      <c r="F8" s="214" t="s">
        <v>13</v>
      </c>
      <c r="G8" s="119" t="s">
        <v>289</v>
      </c>
      <c r="H8" s="39" t="s">
        <v>14</v>
      </c>
      <c r="I8" s="39" t="s">
        <v>94</v>
      </c>
      <c r="J8" s="39" t="s">
        <v>15</v>
      </c>
      <c r="K8" s="39" t="s">
        <v>107</v>
      </c>
      <c r="L8" s="220" t="s">
        <v>56</v>
      </c>
      <c r="M8" s="220" t="s">
        <v>217</v>
      </c>
      <c r="N8" s="221" t="s">
        <v>184</v>
      </c>
      <c r="O8" s="221" t="s">
        <v>185</v>
      </c>
      <c r="P8" s="214" t="s">
        <v>89</v>
      </c>
      <c r="Q8" s="222" t="s">
        <v>90</v>
      </c>
      <c r="R8" s="222" t="s">
        <v>91</v>
      </c>
      <c r="S8" s="222" t="s">
        <v>16</v>
      </c>
      <c r="T8" s="222" t="s">
        <v>17</v>
      </c>
      <c r="U8" s="222" t="s">
        <v>92</v>
      </c>
      <c r="V8" s="222" t="s">
        <v>18</v>
      </c>
      <c r="W8" s="222" t="s">
        <v>19</v>
      </c>
      <c r="X8" s="222" t="s">
        <v>20</v>
      </c>
      <c r="Y8" s="84" t="s">
        <v>21</v>
      </c>
      <c r="Z8" s="223" t="s">
        <v>2</v>
      </c>
      <c r="AA8" s="222" t="s">
        <v>22</v>
      </c>
      <c r="AB8" s="222" t="s">
        <v>23</v>
      </c>
      <c r="AC8" s="47" t="s">
        <v>61</v>
      </c>
      <c r="AD8" s="118"/>
      <c r="AH8" s="39" t="s">
        <v>24</v>
      </c>
      <c r="AI8" s="80" t="s">
        <v>123</v>
      </c>
      <c r="AJ8" s="77" t="s">
        <v>125</v>
      </c>
      <c r="AK8" s="77" t="s">
        <v>163</v>
      </c>
      <c r="AL8" s="77" t="s">
        <v>178</v>
      </c>
      <c r="AM8" s="77" t="s">
        <v>179</v>
      </c>
      <c r="AN8" s="77" t="s">
        <v>180</v>
      </c>
      <c r="AO8" s="77" t="s">
        <v>258</v>
      </c>
      <c r="AP8" s="81" t="s">
        <v>216</v>
      </c>
      <c r="AQ8" s="77" t="s">
        <v>160</v>
      </c>
      <c r="AR8" s="77" t="s">
        <v>162</v>
      </c>
      <c r="AS8" s="77" t="s">
        <v>161</v>
      </c>
      <c r="AT8" s="77" t="s">
        <v>181</v>
      </c>
      <c r="AU8" s="77" t="s">
        <v>182</v>
      </c>
      <c r="AV8" s="77" t="s">
        <v>183</v>
      </c>
      <c r="AW8" s="77" t="s">
        <v>194</v>
      </c>
      <c r="AX8" s="77" t="s">
        <v>195</v>
      </c>
      <c r="AY8" s="77" t="s">
        <v>208</v>
      </c>
      <c r="AZ8" s="77" t="s">
        <v>85</v>
      </c>
      <c r="BA8" s="77" t="s">
        <v>188</v>
      </c>
      <c r="BB8" s="77" t="s">
        <v>219</v>
      </c>
      <c r="BC8" s="77" t="s">
        <v>191</v>
      </c>
      <c r="BD8" s="77" t="s">
        <v>255</v>
      </c>
      <c r="BE8" s="77" t="s">
        <v>27</v>
      </c>
      <c r="BF8" s="77" t="s">
        <v>215</v>
      </c>
      <c r="BG8" s="77" t="s">
        <v>28</v>
      </c>
      <c r="BH8" s="77" t="s">
        <v>84</v>
      </c>
      <c r="BI8" s="82" t="s">
        <v>29</v>
      </c>
      <c r="BJ8" s="82" t="s">
        <v>116</v>
      </c>
      <c r="BK8" s="82" t="s">
        <v>30</v>
      </c>
      <c r="BL8" s="83" t="s">
        <v>58</v>
      </c>
      <c r="BM8" s="84" t="s">
        <v>25</v>
      </c>
      <c r="BN8" s="85" t="s">
        <v>59</v>
      </c>
      <c r="BO8" s="39" t="s">
        <v>26</v>
      </c>
      <c r="BP8" s="86" t="s">
        <v>130</v>
      </c>
      <c r="BQ8" s="86" t="s">
        <v>129</v>
      </c>
      <c r="BR8" s="84" t="s">
        <v>31</v>
      </c>
      <c r="BS8" s="84" t="s">
        <v>32</v>
      </c>
      <c r="BT8" s="84" t="s">
        <v>33</v>
      </c>
      <c r="BU8" s="3" t="s">
        <v>1</v>
      </c>
      <c r="BV8" s="86" t="s">
        <v>140</v>
      </c>
      <c r="BW8" s="217" t="s">
        <v>132</v>
      </c>
      <c r="BX8" s="86" t="s">
        <v>129</v>
      </c>
      <c r="BY8" s="224"/>
      <c r="BZ8" s="76"/>
      <c r="CA8" s="3"/>
      <c r="CB8" s="76"/>
      <c r="CC8" s="78"/>
      <c r="CD8" s="78"/>
      <c r="CE8" s="76"/>
      <c r="CF8" s="76"/>
      <c r="CG8" s="76"/>
      <c r="CH8" s="76"/>
      <c r="CI8" s="76"/>
      <c r="CJ8" s="76"/>
      <c r="CK8" s="76"/>
      <c r="CL8" s="76"/>
    </row>
    <row r="9" spans="1:90" ht="12.75">
      <c r="A9" s="45" t="s">
        <v>61</v>
      </c>
      <c r="B9" s="37"/>
      <c r="C9" s="39" t="s">
        <v>34</v>
      </c>
      <c r="D9" s="214" t="s">
        <v>34</v>
      </c>
      <c r="E9" s="14" t="s">
        <v>34</v>
      </c>
      <c r="F9" s="214" t="s">
        <v>34</v>
      </c>
      <c r="G9" s="119" t="s">
        <v>290</v>
      </c>
      <c r="H9" s="39" t="s">
        <v>83</v>
      </c>
      <c r="I9" s="39" t="s">
        <v>83</v>
      </c>
      <c r="J9" s="39" t="s">
        <v>83</v>
      </c>
      <c r="K9" s="39" t="s">
        <v>83</v>
      </c>
      <c r="L9" s="214" t="s">
        <v>35</v>
      </c>
      <c r="M9" s="214" t="s">
        <v>34</v>
      </c>
      <c r="N9" s="214"/>
      <c r="O9" s="214"/>
      <c r="P9" s="214" t="s">
        <v>34</v>
      </c>
      <c r="Q9" s="222" t="s">
        <v>36</v>
      </c>
      <c r="R9" s="222" t="s">
        <v>36</v>
      </c>
      <c r="S9" s="222" t="s">
        <v>35</v>
      </c>
      <c r="T9" s="222" t="s">
        <v>37</v>
      </c>
      <c r="U9" s="222" t="s">
        <v>36</v>
      </c>
      <c r="V9" s="222" t="s">
        <v>35</v>
      </c>
      <c r="W9" s="222" t="s">
        <v>37</v>
      </c>
      <c r="X9" s="222" t="s">
        <v>35</v>
      </c>
      <c r="Y9" s="84" t="s">
        <v>35</v>
      </c>
      <c r="Z9" s="223" t="s">
        <v>38</v>
      </c>
      <c r="AA9" s="222" t="s">
        <v>37</v>
      </c>
      <c r="AB9" s="222" t="s">
        <v>37</v>
      </c>
      <c r="AC9" s="47" t="s">
        <v>61</v>
      </c>
      <c r="AD9" s="118" t="s">
        <v>88</v>
      </c>
      <c r="AH9" s="39" t="s">
        <v>37</v>
      </c>
      <c r="AI9" s="80" t="s">
        <v>37</v>
      </c>
      <c r="AJ9" s="77" t="s">
        <v>37</v>
      </c>
      <c r="AK9" s="77" t="s">
        <v>34</v>
      </c>
      <c r="AL9" s="77" t="s">
        <v>159</v>
      </c>
      <c r="AM9" s="77" t="s">
        <v>159</v>
      </c>
      <c r="AN9" s="77" t="s">
        <v>159</v>
      </c>
      <c r="AO9" s="77" t="s">
        <v>159</v>
      </c>
      <c r="AP9" s="77" t="s">
        <v>35</v>
      </c>
      <c r="AQ9" s="77" t="s">
        <v>159</v>
      </c>
      <c r="AR9" s="77" t="s">
        <v>159</v>
      </c>
      <c r="AS9" s="77" t="s">
        <v>159</v>
      </c>
      <c r="AT9" s="77" t="s">
        <v>159</v>
      </c>
      <c r="AU9" s="77" t="s">
        <v>159</v>
      </c>
      <c r="AV9" s="77" t="s">
        <v>159</v>
      </c>
      <c r="AW9" s="77" t="s">
        <v>159</v>
      </c>
      <c r="AX9" s="77" t="s">
        <v>159</v>
      </c>
      <c r="AY9" s="77" t="s">
        <v>159</v>
      </c>
      <c r="AZ9" s="77" t="s">
        <v>159</v>
      </c>
      <c r="BA9" s="77" t="s">
        <v>189</v>
      </c>
      <c r="BB9" s="77"/>
      <c r="BC9" s="77" t="s">
        <v>189</v>
      </c>
      <c r="BD9" s="77" t="s">
        <v>189</v>
      </c>
      <c r="BE9" s="77" t="s">
        <v>34</v>
      </c>
      <c r="BF9" s="77" t="s">
        <v>34</v>
      </c>
      <c r="BG9" s="77" t="s">
        <v>34</v>
      </c>
      <c r="BH9" s="77" t="s">
        <v>34</v>
      </c>
      <c r="BI9" s="82" t="s">
        <v>18</v>
      </c>
      <c r="BJ9" s="82" t="s">
        <v>18</v>
      </c>
      <c r="BK9" s="82" t="s">
        <v>18</v>
      </c>
      <c r="BL9" s="82" t="s">
        <v>35</v>
      </c>
      <c r="BM9" s="84" t="s">
        <v>16</v>
      </c>
      <c r="BN9" s="39" t="s">
        <v>35</v>
      </c>
      <c r="BO9" s="39" t="s">
        <v>16</v>
      </c>
      <c r="BP9" s="86" t="s">
        <v>35</v>
      </c>
      <c r="BQ9" s="86" t="s">
        <v>16</v>
      </c>
      <c r="BR9" s="84" t="s">
        <v>12</v>
      </c>
      <c r="BS9" s="84" t="s">
        <v>39</v>
      </c>
      <c r="BT9" s="84" t="s">
        <v>40</v>
      </c>
      <c r="BU9" s="3" t="s">
        <v>1</v>
      </c>
      <c r="BV9" s="86" t="s">
        <v>141</v>
      </c>
      <c r="BW9" s="217" t="s">
        <v>133</v>
      </c>
      <c r="BX9" s="86" t="s">
        <v>138</v>
      </c>
      <c r="BY9" s="225" t="s">
        <v>149</v>
      </c>
      <c r="BZ9" s="219" t="s">
        <v>150</v>
      </c>
      <c r="CA9" s="226" t="s">
        <v>151</v>
      </c>
      <c r="CB9" s="219" t="s">
        <v>152</v>
      </c>
      <c r="CC9" s="227" t="s">
        <v>153</v>
      </c>
      <c r="CD9" s="227"/>
      <c r="CE9" s="76"/>
      <c r="CF9" s="76"/>
      <c r="CG9" s="76"/>
      <c r="CH9" s="39" t="s">
        <v>201</v>
      </c>
      <c r="CI9" s="76"/>
      <c r="CJ9" s="76"/>
      <c r="CK9" s="76"/>
      <c r="CL9" s="39" t="s">
        <v>202</v>
      </c>
    </row>
    <row r="10" spans="1:90" ht="12.75">
      <c r="A10" s="45" t="s">
        <v>61</v>
      </c>
      <c r="B10" s="40"/>
      <c r="C10" s="41" t="s">
        <v>61</v>
      </c>
      <c r="D10" s="228" t="s">
        <v>61</v>
      </c>
      <c r="E10" s="15" t="s">
        <v>61</v>
      </c>
      <c r="F10" s="228" t="s">
        <v>61</v>
      </c>
      <c r="G10" s="120"/>
      <c r="H10" s="41" t="s">
        <v>114</v>
      </c>
      <c r="I10" s="41" t="s">
        <v>115</v>
      </c>
      <c r="J10" s="41" t="s">
        <v>114</v>
      </c>
      <c r="K10" s="41" t="s">
        <v>114</v>
      </c>
      <c r="L10" s="228" t="s">
        <v>61</v>
      </c>
      <c r="M10" s="228"/>
      <c r="N10" s="228"/>
      <c r="O10" s="228"/>
      <c r="P10" s="229" t="s">
        <v>61</v>
      </c>
      <c r="Q10" s="230" t="s">
        <v>61</v>
      </c>
      <c r="R10" s="229" t="s">
        <v>61</v>
      </c>
      <c r="S10" s="230" t="s">
        <v>61</v>
      </c>
      <c r="T10" s="229" t="s">
        <v>61</v>
      </c>
      <c r="U10" s="230" t="s">
        <v>61</v>
      </c>
      <c r="V10" s="229" t="s">
        <v>61</v>
      </c>
      <c r="W10" s="229" t="s">
        <v>61</v>
      </c>
      <c r="X10" s="229" t="s">
        <v>61</v>
      </c>
      <c r="Y10" s="231"/>
      <c r="Z10" s="232"/>
      <c r="AA10" s="229" t="s">
        <v>61</v>
      </c>
      <c r="AB10" s="229" t="s">
        <v>61</v>
      </c>
      <c r="AC10" s="47" t="s">
        <v>61</v>
      </c>
      <c r="AD10" s="121"/>
      <c r="AE10" s="104"/>
      <c r="AH10" s="41"/>
      <c r="AI10" s="87"/>
      <c r="AJ10" s="88" t="s">
        <v>61</v>
      </c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9"/>
      <c r="BJ10" s="89"/>
      <c r="BK10" s="89"/>
      <c r="BL10" s="89"/>
      <c r="BM10" s="90"/>
      <c r="BN10" s="41"/>
      <c r="BO10" s="41"/>
      <c r="BP10" s="91"/>
      <c r="BQ10" s="91"/>
      <c r="BR10" s="90"/>
      <c r="BS10" s="90"/>
      <c r="BT10" s="90"/>
      <c r="BU10" s="6" t="s">
        <v>1</v>
      </c>
      <c r="BV10" s="91"/>
      <c r="BW10" s="233" t="s">
        <v>135</v>
      </c>
      <c r="BX10" s="91" t="s">
        <v>158</v>
      </c>
      <c r="BY10" s="68"/>
      <c r="BZ10" s="234"/>
      <c r="CA10" s="6"/>
      <c r="CB10" s="234"/>
      <c r="CC10" s="69"/>
      <c r="CD10" s="69"/>
      <c r="CE10" s="234"/>
      <c r="CF10" s="234"/>
      <c r="CG10" s="234"/>
      <c r="CH10" s="234"/>
      <c r="CI10" s="234"/>
      <c r="CJ10" s="234"/>
      <c r="CK10" s="234"/>
      <c r="CL10" s="234"/>
    </row>
    <row r="11" spans="1:90" ht="15.75">
      <c r="A11" s="45" t="s">
        <v>61</v>
      </c>
      <c r="B11" s="42">
        <v>1</v>
      </c>
      <c r="C11" s="32">
        <f aca="true" t="shared" si="0" ref="C11:C30">D11+E11</f>
        <v>10</v>
      </c>
      <c r="D11" s="185">
        <v>8</v>
      </c>
      <c r="E11" s="186">
        <v>2</v>
      </c>
      <c r="F11" s="187">
        <v>8</v>
      </c>
      <c r="G11" s="194" t="str">
        <f>IF(F11&lt;0.7*C11,"NG","OK")</f>
        <v>OK</v>
      </c>
      <c r="H11" s="33">
        <f>MIN('Strength 1a'!G11,'Strength 1b'!G11,'Strength IV'!G11)</f>
        <v>2.0945454545454547</v>
      </c>
      <c r="I11" s="33">
        <f>MAX('Strength 1a'!H11,'Strength 1b'!H11,'Strength IV'!H11)</f>
        <v>0.9548611111111109</v>
      </c>
      <c r="J11" s="33">
        <f>MIN('Strength 1a'!I11,'Strength 1b'!I11,'Strength IV'!I11)</f>
        <v>1.1876919823329444</v>
      </c>
      <c r="K11" s="33">
        <f>MIN('Strength 1a'!J11,'Strength 1b'!J11,'Strength IV'!J11)</f>
        <v>1.5789347948065402</v>
      </c>
      <c r="L11" s="185">
        <v>0</v>
      </c>
      <c r="M11" s="185">
        <v>200</v>
      </c>
      <c r="N11" s="188">
        <f aca="true" t="shared" si="1" ref="N11:N30">SIN(RADIANS(L11))</f>
        <v>0</v>
      </c>
      <c r="O11" s="188">
        <f aca="true" t="shared" si="2" ref="O11:O30">COS(RADIANS(L11))</f>
        <v>1</v>
      </c>
      <c r="P11" s="185">
        <v>0</v>
      </c>
      <c r="Q11" s="185">
        <v>105</v>
      </c>
      <c r="R11" s="185">
        <v>105</v>
      </c>
      <c r="S11" s="185">
        <v>30</v>
      </c>
      <c r="T11" s="185">
        <v>0</v>
      </c>
      <c r="U11" s="185">
        <v>105</v>
      </c>
      <c r="V11" s="185">
        <v>30</v>
      </c>
      <c r="W11" s="185">
        <v>0</v>
      </c>
      <c r="X11" s="185">
        <v>30</v>
      </c>
      <c r="Y11" s="189">
        <v>90</v>
      </c>
      <c r="Z11" s="190" t="s">
        <v>187</v>
      </c>
      <c r="AA11" s="191">
        <v>250</v>
      </c>
      <c r="AB11" s="191">
        <v>250</v>
      </c>
      <c r="AC11" s="47" t="s">
        <v>61</v>
      </c>
      <c r="AD11" s="49">
        <f aca="true" t="shared" si="3" ref="AD11:AD30">IF(P11&gt;(1.5*F11),1,0.5+P11/3/F11)</f>
        <v>0.5</v>
      </c>
      <c r="AG11" s="104" t="s">
        <v>41</v>
      </c>
      <c r="AH11" s="26">
        <f>MAX('Strength 1a'!AG11,'Strength 1b'!AG11,'Strength IV'!AG11)</f>
        <v>2541.9445192566654</v>
      </c>
      <c r="AI11" s="44">
        <f>MIN('Strength 1a'!AH11,'Strength 1b'!AH11,'Strength IV'!AH11)</f>
        <v>3840.808238678871</v>
      </c>
      <c r="AJ11" s="26">
        <f>MIN('Strength 1a'!AI11,'Strength 1b'!AI11,'Strength IV'!AI11)</f>
        <v>0</v>
      </c>
      <c r="AK11" s="30">
        <f>MIN('Strength 1a'!AJ11,'Strength 1b'!AJ11,'Strength IV'!AJ11)</f>
        <v>0</v>
      </c>
      <c r="AL11" s="26">
        <f>MIN('Strength 1a'!AK11,'Strength 1b'!AK11,'Strength IV'!AK11)</f>
        <v>8400</v>
      </c>
      <c r="AM11" s="26">
        <f>MIN('Strength 1a'!AL11,'Strength 1b'!AL11,'Strength IV'!AL11)</f>
        <v>0</v>
      </c>
      <c r="AN11" s="26">
        <f>MIN('Strength 1a'!AM11,'Strength 1b'!AM11,'Strength IV'!AM11)</f>
        <v>0</v>
      </c>
      <c r="AO11" s="26">
        <f>MIN('Strength 1a'!AN11,'Strength 1b'!AN11)</f>
        <v>3500</v>
      </c>
      <c r="AP11" s="29">
        <f>MIN('Strength 1a'!AO11,'Strength 1b'!AO11,'Strength IV'!AO11)</f>
        <v>0</v>
      </c>
      <c r="AQ11" s="26">
        <f>MIN('Strength 1a'!AP11,'Strength 1b'!AP11,'Strength IV'!AP11)</f>
        <v>1750</v>
      </c>
      <c r="AR11" s="26">
        <f>MIN('Strength 1a'!AQ11,'Strength 1b'!AQ11,'Strength IV'!AQ11)</f>
        <v>0</v>
      </c>
      <c r="AS11" s="26">
        <f>MIN('Strength 1a'!AR11,'Strength 1b'!AR11,'Strength IV'!AR11)</f>
        <v>0</v>
      </c>
      <c r="AT11" s="26">
        <f>MIN('Strength 1a'!AS11,'Strength 1b'!AS11)</f>
        <v>833.3333333333333</v>
      </c>
      <c r="AU11" s="26">
        <f>MIN('Strength 1a'!AT11,'Strength 1b'!AT11)</f>
        <v>0</v>
      </c>
      <c r="AV11" s="26">
        <f>MIN('Strength 1a'!AU11,'Strength 1b'!AU11)</f>
        <v>0</v>
      </c>
      <c r="AW11" s="26">
        <f>MIN('Strength 1a'!AV11,'Strength 1b'!AV11,'Strength IV'!AV11)</f>
        <v>2625</v>
      </c>
      <c r="AX11" s="26">
        <f>MIN('Strength 1a'!AW11,'Strength 1b'!AW11,'Strength IV'!AW11)</f>
        <v>4849.742261192856</v>
      </c>
      <c r="AY11" s="26">
        <f>MIN('Strength 1a'!AX11,'Strength 1b'!AX11,'Strength IV'!AX11)</f>
        <v>8400</v>
      </c>
      <c r="AZ11" s="26">
        <f>'Strength 1b'!AY11</f>
        <v>14840</v>
      </c>
      <c r="BA11" s="26">
        <f>MIN('Strength 1a'!AZ11,'Strength 1b'!AZ11,'Strength IV'!AZ11)</f>
        <v>33600</v>
      </c>
      <c r="BB11" s="26">
        <f>'Strength 1b'!BA11</f>
        <v>59360</v>
      </c>
      <c r="BC11" s="26">
        <f>MAX('Strength 1a'!BB11,'Strength 1b'!BB11,'Strength IV'!BB11)</f>
        <v>16041.666666666666</v>
      </c>
      <c r="BD11" s="26">
        <f>'Strength 1b'!BB11</f>
        <v>16041.666666666666</v>
      </c>
      <c r="BE11" s="30">
        <f>MAX('Strength 1a'!BC11,'Strength 1b'!BC11,'Strength IV'!BC11)</f>
        <v>1.9097222222222219</v>
      </c>
      <c r="BF11" s="30">
        <f>'Strength 1b'!BD11</f>
        <v>1.0809748427672954</v>
      </c>
      <c r="BG11" s="30">
        <f>'Strength 1b'!BE11</f>
        <v>5.838050314465409</v>
      </c>
      <c r="BH11" s="30">
        <f>MIN('Strength 1a'!BF11,'Strength 1b'!BF11,'Strength IV'!BF11)</f>
        <v>2</v>
      </c>
      <c r="BI11" s="30">
        <f>MIN('Strength 1a'!BG11,'Strength 1b'!BG11,'Strength IV'!BG11)</f>
        <v>30.139627791519086</v>
      </c>
      <c r="BJ11" s="30">
        <f>MIN('Strength 1a'!BH11,'Strength 1b'!BH11,'Strength IV'!BH11)</f>
        <v>18.401122218708668</v>
      </c>
      <c r="BK11" s="30">
        <f>MIN('Strength 1a'!BI11,'Strength 1b'!BI11,'Strength IV'!BI11)</f>
        <v>22.402486271104557</v>
      </c>
      <c r="BL11" s="29">
        <f>MIN('Strength 1a'!BJ11,'Strength 1b'!BJ11,'Strength IV'!BJ11)</f>
        <v>0</v>
      </c>
      <c r="BM11" s="31">
        <f>MIN('Strength 1a'!BK11,'Strength 1b'!BK11,'Strength IV'!BK11)</f>
        <v>0.3333333333333333</v>
      </c>
      <c r="BN11" s="29">
        <f>MIN('Strength 1a'!BL11,'Strength 1b'!BL11,'Strength IV'!BL11)</f>
        <v>0</v>
      </c>
      <c r="BO11" s="31">
        <f>MIN('Strength 1a'!BM11,'Strength 1b'!BM11,'Strength IV'!BM11)</f>
        <v>0</v>
      </c>
      <c r="BP11" s="29">
        <f>MIN('Strength 1a'!BN11,'Strength 1b'!BN11,'Strength IV'!BN11)</f>
        <v>0</v>
      </c>
      <c r="BQ11" s="31">
        <f>MIN('Strength 1a'!BO11,'Strength 1b'!BO11,'Strength IV'!BO11)</f>
        <v>0</v>
      </c>
      <c r="BR11" s="192">
        <f aca="true" t="shared" si="4" ref="BR11:BR30">PI()/180</f>
        <v>0.017453292519943295</v>
      </c>
      <c r="BS11" s="192">
        <f aca="true" t="shared" si="5" ref="BS11:BS30">TAN(X11*BR11)</f>
        <v>0.5773502691896257</v>
      </c>
      <c r="BT11" s="192">
        <f aca="true" t="shared" si="6" ref="BT11:BT30">IF(L11&gt;0,"----",SIN(BL11*BR11))</f>
        <v>0</v>
      </c>
      <c r="BU11" s="3" t="s">
        <v>1</v>
      </c>
      <c r="BV11" s="193" t="s">
        <v>127</v>
      </c>
      <c r="BW11" s="30">
        <f>MIN('Strength 1a'!BU11,'Strength 1b'!BU11,'Strength IV'!BU11)</f>
        <v>0</v>
      </c>
      <c r="BX11" s="31">
        <f>MIN('Strength 1a'!BV11,'Strength 1b'!BV11,'Strength IV'!BV11)</f>
        <v>0</v>
      </c>
      <c r="BY11" s="31">
        <f>MIN('Strength 1a'!BW11,'Strength 1b'!BW11,'Strength IV'!BW11)</f>
        <v>1</v>
      </c>
      <c r="BZ11" s="31">
        <f>MIN('Strength 1a'!BX11,'Strength 1b'!BX11,'Strength IV'!BX11)</f>
        <v>1</v>
      </c>
      <c r="CA11" s="31">
        <f>MIN('Strength 1a'!BY11,'Strength 1b'!BY11,'Strength IV'!BY11)</f>
        <v>0.7500000000000001</v>
      </c>
      <c r="CB11" s="31">
        <f>MIN('Strength 1a'!BZ11,'Strength 1b'!BZ11,'Strength IV'!BZ11)</f>
        <v>1</v>
      </c>
      <c r="CC11" s="31">
        <f>MIN('Strength 1a'!CA11,'Strength 1b'!CA11,'Strength IV'!CA11)</f>
        <v>1</v>
      </c>
      <c r="CD11" s="31">
        <f>MIN('Strength 1a'!CB11,'Strength 1b'!CB11,'Strength IV'!CB11)</f>
        <v>0</v>
      </c>
      <c r="CE11" s="31">
        <f>MIN('Strength 1a'!CC11,'Strength 1b'!CC11,'Strength IV'!CC11)</f>
        <v>0.4999999999999999</v>
      </c>
      <c r="CF11" s="31">
        <f>MIN('Strength 1a'!CD11,'Strength 1b'!CD11,'Strength IV'!CD11)</f>
        <v>0.5000000000000001</v>
      </c>
      <c r="CG11" s="31">
        <f>MIN('Strength 1a'!CE11,'Strength 1b'!CE11,'Strength IV'!CE11)</f>
        <v>1.5</v>
      </c>
      <c r="CH11" s="31">
        <f>MIN('Strength 1a'!CF11,'Strength 1b'!CF11,'Strength IV'!CF11)</f>
        <v>0.3333333333333334</v>
      </c>
      <c r="CI11" s="31">
        <f>MIN('Strength 1a'!CG11,'Strength 1b'!CG11,'Strength IV'!CG11)</f>
        <v>0.4999999999999999</v>
      </c>
      <c r="CJ11" s="31">
        <f>MIN('Strength 1a'!CH11,'Strength 1b'!CH11,'Strength IV'!CH11)</f>
        <v>0.5000000000000001</v>
      </c>
      <c r="CK11" s="31">
        <f>MIN('Strength 1a'!CI11,'Strength 1b'!CI11,'Strength IV'!CI11)</f>
        <v>1.5</v>
      </c>
      <c r="CL11" s="31">
        <f>MIN('Strength 1a'!CJ11,'Strength 1b'!CJ11,'Strength IV'!CJ11)</f>
        <v>0.3333333333333334</v>
      </c>
    </row>
    <row r="12" spans="1:90" ht="15.75">
      <c r="A12" s="45" t="s">
        <v>61</v>
      </c>
      <c r="B12" s="42">
        <v>2</v>
      </c>
      <c r="C12" s="32">
        <f t="shared" si="0"/>
        <v>12</v>
      </c>
      <c r="D12" s="185">
        <v>10</v>
      </c>
      <c r="E12" s="186">
        <v>2</v>
      </c>
      <c r="F12" s="187">
        <v>9</v>
      </c>
      <c r="G12" s="194" t="str">
        <f aca="true" t="shared" si="7" ref="G12:G30">IF(F12&lt;0.7*C12,"NG","OK")</f>
        <v>OK</v>
      </c>
      <c r="H12" s="33">
        <f>MIN('Strength 1a'!G12,'Strength 1b'!G12,'Strength IV'!G12)</f>
        <v>1.9918032786885247</v>
      </c>
      <c r="I12" s="33">
        <f>MAX('Strength 1a'!H12,'Strength 1b'!H12,'Strength IV'!H12)</f>
        <v>1.0041152263374484</v>
      </c>
      <c r="J12" s="33">
        <f>MIN('Strength 1a'!I12,'Strength 1b'!I12,'Strength IV'!I12)</f>
        <v>1.183933463401511</v>
      </c>
      <c r="K12" s="33">
        <f>MIN('Strength 1a'!J12,'Strength 1b'!J12,'Strength IV'!J12)</f>
        <v>1.3748451144006146</v>
      </c>
      <c r="L12" s="185">
        <v>0</v>
      </c>
      <c r="M12" s="185">
        <v>200</v>
      </c>
      <c r="N12" s="188">
        <f t="shared" si="1"/>
        <v>0</v>
      </c>
      <c r="O12" s="188">
        <f t="shared" si="2"/>
        <v>1</v>
      </c>
      <c r="P12" s="185">
        <v>0</v>
      </c>
      <c r="Q12" s="185">
        <v>105</v>
      </c>
      <c r="R12" s="185">
        <v>105</v>
      </c>
      <c r="S12" s="185">
        <v>30</v>
      </c>
      <c r="T12" s="185">
        <f>T11</f>
        <v>0</v>
      </c>
      <c r="U12" s="185">
        <v>105</v>
      </c>
      <c r="V12" s="185">
        <v>30</v>
      </c>
      <c r="W12" s="185">
        <v>0</v>
      </c>
      <c r="X12" s="185">
        <v>30</v>
      </c>
      <c r="Y12" s="189">
        <v>90</v>
      </c>
      <c r="Z12" s="190" t="s">
        <v>82</v>
      </c>
      <c r="AA12" s="191">
        <v>250</v>
      </c>
      <c r="AB12" s="191">
        <v>250</v>
      </c>
      <c r="AC12" s="47" t="s">
        <v>61</v>
      </c>
      <c r="AD12" s="49">
        <f t="shared" si="3"/>
        <v>0.5</v>
      </c>
      <c r="AG12" s="104" t="s">
        <v>41</v>
      </c>
      <c r="AH12" s="26">
        <f>MAX('Strength 1a'!AG12,'Strength 1b'!AG12,'Strength IV'!AG12)</f>
        <v>3036.8283119566145</v>
      </c>
      <c r="AI12" s="44">
        <f>MIN('Strength 1a'!AH12,'Strength 1b'!AH12,'Strength IV'!AH12)</f>
        <v>3951.4642429642718</v>
      </c>
      <c r="AJ12" s="26">
        <f>MIN('Strength 1a'!AI12,'Strength 1b'!AI12,'Strength IV'!AI12)</f>
        <v>0</v>
      </c>
      <c r="AK12" s="30">
        <f>MIN('Strength 1a'!AJ12,'Strength 1b'!AJ12,'Strength IV'!AJ12)</f>
        <v>0</v>
      </c>
      <c r="AL12" s="26">
        <f>MIN('Strength 1a'!AK12,'Strength 1b'!AK12,'Strength IV'!AK12)</f>
        <v>11340</v>
      </c>
      <c r="AM12" s="26">
        <f>MIN('Strength 1a'!AL12,'Strength 1b'!AL12,'Strength IV'!AL12)</f>
        <v>0</v>
      </c>
      <c r="AN12" s="26">
        <f>MIN('Strength 1a'!AM12,'Strength 1b'!AM12,'Strength IV'!AM12)</f>
        <v>0</v>
      </c>
      <c r="AO12" s="26">
        <f>MIN('Strength 1a'!AN12,'Strength 1b'!AN12)</f>
        <v>3937.5</v>
      </c>
      <c r="AP12" s="29">
        <f>MIN('Strength 1a'!AO12,'Strength 1b'!AO12,'Strength IV'!AO12)</f>
        <v>0</v>
      </c>
      <c r="AQ12" s="26">
        <f>MIN('Strength 1a'!AP12,'Strength 1b'!AP12,'Strength IV'!AP12)</f>
        <v>2520</v>
      </c>
      <c r="AR12" s="26">
        <f>MIN('Strength 1a'!AQ12,'Strength 1b'!AQ12,'Strength IV'!AQ12)</f>
        <v>0</v>
      </c>
      <c r="AS12" s="26">
        <f>MIN('Strength 1a'!AR12,'Strength 1b'!AR12,'Strength IV'!AR12)</f>
        <v>0</v>
      </c>
      <c r="AT12" s="26">
        <f>MIN('Strength 1a'!AS12,'Strength 1b'!AS12)</f>
        <v>1000</v>
      </c>
      <c r="AU12" s="26">
        <f>MIN('Strength 1a'!AT12,'Strength 1b'!AT12)</f>
        <v>0</v>
      </c>
      <c r="AV12" s="26">
        <f>MIN('Strength 1a'!AU12,'Strength 1b'!AU12)</f>
        <v>0</v>
      </c>
      <c r="AW12" s="26">
        <f>MIN('Strength 1a'!AV12,'Strength 1b'!AV12,'Strength IV'!AV12)</f>
        <v>3780</v>
      </c>
      <c r="AX12" s="26">
        <f>MIN('Strength 1a'!AW12,'Strength 1b'!AW12,'Strength IV'!AW12)</f>
        <v>6547.152052610356</v>
      </c>
      <c r="AY12" s="26">
        <f>MIN('Strength 1a'!AX12,'Strength 1b'!AX12,'Strength IV'!AX12)</f>
        <v>11340</v>
      </c>
      <c r="AZ12" s="26">
        <f>'Strength 1b'!AY12</f>
        <v>19246.5</v>
      </c>
      <c r="BA12" s="26">
        <f>MIN('Strength 1a'!AZ12,'Strength 1b'!AZ12,'Strength IV'!AZ12)</f>
        <v>51030</v>
      </c>
      <c r="BB12" s="26">
        <f>'Strength 1b'!BA12</f>
        <v>86609.25000000001</v>
      </c>
      <c r="BC12" s="26">
        <f>MAX('Strength 1a'!BB12,'Strength 1b'!BB12,'Strength IV'!BB12)</f>
        <v>25620</v>
      </c>
      <c r="BD12" s="26">
        <f>'Strength 1b'!BB12</f>
        <v>25620</v>
      </c>
      <c r="BE12" s="30">
        <f>MAX('Strength 1a'!BC12,'Strength 1b'!BC12,'Strength IV'!BC12)</f>
        <v>2.259259259259259</v>
      </c>
      <c r="BF12" s="30">
        <f>'Strength 1b'!BD12</f>
        <v>1.33115111838516</v>
      </c>
      <c r="BG12" s="30">
        <f>'Strength 1b'!BE12</f>
        <v>6.33769776322968</v>
      </c>
      <c r="BH12" s="30">
        <f>MIN('Strength 1a'!BF12,'Strength 1b'!BF12,'Strength IV'!BF12)</f>
        <v>2.25</v>
      </c>
      <c r="BI12" s="30">
        <f>MIN('Strength 1a'!BG12,'Strength 1b'!BG12,'Strength IV'!BG12)</f>
        <v>30.139627791519086</v>
      </c>
      <c r="BJ12" s="30">
        <f>MIN('Strength 1a'!BH12,'Strength 1b'!BH12,'Strength IV'!BH12)</f>
        <v>18.401122218708668</v>
      </c>
      <c r="BK12" s="30">
        <f>MIN('Strength 1a'!BI12,'Strength 1b'!BI12,'Strength IV'!BI12)</f>
        <v>22.402486271104557</v>
      </c>
      <c r="BL12" s="29">
        <f>MIN('Strength 1a'!BJ12,'Strength 1b'!BJ12,'Strength IV'!BJ12)</f>
        <v>0</v>
      </c>
      <c r="BM12" s="31">
        <f>MIN('Strength 1a'!BK12,'Strength 1b'!BK12,'Strength IV'!BK12)</f>
        <v>0.3333333333333333</v>
      </c>
      <c r="BN12" s="29">
        <f>MIN('Strength 1a'!BL12,'Strength 1b'!BL12,'Strength IV'!BL12)</f>
        <v>0</v>
      </c>
      <c r="BO12" s="31">
        <f>MIN('Strength 1a'!BM12,'Strength 1b'!BM12,'Strength IV'!BM12)</f>
        <v>0</v>
      </c>
      <c r="BP12" s="29">
        <f>MIN('Strength 1a'!BN12,'Strength 1b'!BN12,'Strength IV'!BN12)</f>
        <v>0</v>
      </c>
      <c r="BQ12" s="31">
        <f>MIN('Strength 1a'!BO12,'Strength 1b'!BO12,'Strength IV'!BO12)</f>
        <v>0</v>
      </c>
      <c r="BR12" s="235">
        <f t="shared" si="4"/>
        <v>0.017453292519943295</v>
      </c>
      <c r="BS12" s="235">
        <f t="shared" si="5"/>
        <v>0.5773502691896257</v>
      </c>
      <c r="BT12" s="235">
        <f t="shared" si="6"/>
        <v>0</v>
      </c>
      <c r="BU12" s="204" t="s">
        <v>1</v>
      </c>
      <c r="BV12" s="193" t="s">
        <v>128</v>
      </c>
      <c r="BW12" s="30">
        <f>MIN('Strength 1a'!BU12,'Strength 1b'!BU12,'Strength IV'!BU12)</f>
        <v>0</v>
      </c>
      <c r="BX12" s="31">
        <f>MIN('Strength 1a'!BV12,'Strength 1b'!BV12,'Strength IV'!BV12)</f>
        <v>0</v>
      </c>
      <c r="BY12" s="31">
        <f>MIN('Strength 1a'!BW12,'Strength 1b'!BW12,'Strength IV'!BW12)</f>
        <v>1</v>
      </c>
      <c r="BZ12" s="31">
        <f>MIN('Strength 1a'!BX12,'Strength 1b'!BX12,'Strength IV'!BX12)</f>
        <v>1</v>
      </c>
      <c r="CA12" s="31">
        <f>MIN('Strength 1a'!BY12,'Strength 1b'!BY12,'Strength IV'!BY12)</f>
        <v>0.7500000000000001</v>
      </c>
      <c r="CB12" s="31">
        <f>MIN('Strength 1a'!BZ12,'Strength 1b'!BZ12,'Strength IV'!BZ12)</f>
        <v>1</v>
      </c>
      <c r="CC12" s="31">
        <f>MIN('Strength 1a'!CA12,'Strength 1b'!CA12,'Strength IV'!CA12)</f>
        <v>1</v>
      </c>
      <c r="CD12" s="31">
        <f>MIN('Strength 1a'!CB12,'Strength 1b'!CB12,'Strength IV'!CB12)</f>
        <v>0</v>
      </c>
      <c r="CE12" s="31">
        <f>MIN('Strength 1a'!CC12,'Strength 1b'!CC12,'Strength IV'!CC12)</f>
        <v>0.4999999999999999</v>
      </c>
      <c r="CF12" s="31">
        <f>MIN('Strength 1a'!CD12,'Strength 1b'!CD12,'Strength IV'!CD12)</f>
        <v>0.5000000000000001</v>
      </c>
      <c r="CG12" s="31">
        <f>MIN('Strength 1a'!CE12,'Strength 1b'!CE12,'Strength IV'!CE12)</f>
        <v>1.5</v>
      </c>
      <c r="CH12" s="31">
        <f>MIN('Strength 1a'!CF12,'Strength 1b'!CF12,'Strength IV'!CF12)</f>
        <v>0.3333333333333334</v>
      </c>
      <c r="CI12" s="31">
        <f>MIN('Strength 1a'!CG12,'Strength 1b'!CG12,'Strength IV'!CG12)</f>
        <v>0.4999999999999999</v>
      </c>
      <c r="CJ12" s="31">
        <f>MIN('Strength 1a'!CH12,'Strength 1b'!CH12,'Strength IV'!CH12)</f>
        <v>0.5000000000000001</v>
      </c>
      <c r="CK12" s="31">
        <f>MIN('Strength 1a'!CI12,'Strength 1b'!CI12,'Strength IV'!CI12)</f>
        <v>1.5</v>
      </c>
      <c r="CL12" s="31">
        <f>MIN('Strength 1a'!CJ12,'Strength 1b'!CJ12,'Strength IV'!CJ12)</f>
        <v>0.3333333333333334</v>
      </c>
    </row>
    <row r="13" spans="1:90" ht="15.75">
      <c r="A13" s="45" t="s">
        <v>61</v>
      </c>
      <c r="B13" s="42">
        <v>3</v>
      </c>
      <c r="C13" s="32">
        <f t="shared" si="0"/>
        <v>14</v>
      </c>
      <c r="D13" s="185">
        <v>12</v>
      </c>
      <c r="E13" s="186">
        <v>2</v>
      </c>
      <c r="F13" s="187">
        <v>10</v>
      </c>
      <c r="G13" s="194" t="str">
        <f t="shared" si="7"/>
        <v>OK</v>
      </c>
      <c r="H13" s="33">
        <f>MIN('Strength 1a'!G13,'Strength 1b'!G13,'Strength IV'!G13)</f>
        <v>1.9189765458422177</v>
      </c>
      <c r="I13" s="33">
        <f>MAX('Strength 1a'!H13,'Strength 1b'!H13,'Strength IV'!H13)</f>
        <v>1.0422222222222222</v>
      </c>
      <c r="J13" s="33">
        <f>MIN('Strength 1a'!I13,'Strength 1b'!I13,'Strength IV'!I13)</f>
        <v>1.1809437324333254</v>
      </c>
      <c r="K13" s="33">
        <f>MIN('Strength 1a'!J13,'Strength 1b'!J13,'Strength IV'!J13)</f>
        <v>1.2242350924695522</v>
      </c>
      <c r="L13" s="185">
        <v>0</v>
      </c>
      <c r="M13" s="185">
        <v>200</v>
      </c>
      <c r="N13" s="188">
        <f t="shared" si="1"/>
        <v>0</v>
      </c>
      <c r="O13" s="188">
        <f t="shared" si="2"/>
        <v>1</v>
      </c>
      <c r="P13" s="185">
        <v>0</v>
      </c>
      <c r="Q13" s="185">
        <v>105</v>
      </c>
      <c r="R13" s="185">
        <v>105</v>
      </c>
      <c r="S13" s="185">
        <v>30</v>
      </c>
      <c r="T13" s="185">
        <f aca="true" t="shared" si="8" ref="T13:T30">T12</f>
        <v>0</v>
      </c>
      <c r="U13" s="185">
        <v>105</v>
      </c>
      <c r="V13" s="185">
        <v>30</v>
      </c>
      <c r="W13" s="185">
        <v>0</v>
      </c>
      <c r="X13" s="185">
        <v>30</v>
      </c>
      <c r="Y13" s="189">
        <v>90</v>
      </c>
      <c r="Z13" s="190" t="s">
        <v>82</v>
      </c>
      <c r="AA13" s="191">
        <v>250</v>
      </c>
      <c r="AB13" s="191">
        <v>250</v>
      </c>
      <c r="AC13" s="47" t="s">
        <v>61</v>
      </c>
      <c r="AD13" s="49">
        <f t="shared" si="3"/>
        <v>0.5</v>
      </c>
      <c r="AG13" s="104" t="s">
        <v>42</v>
      </c>
      <c r="AH13" s="26">
        <f>MAX('Strength 1a'!AG13,'Strength 1b'!AG13,'Strength IV'!AG13)</f>
        <v>3542.392560236719</v>
      </c>
      <c r="AI13" s="44">
        <f>MIN('Strength 1a'!AH13,'Strength 1b'!AH13,'Strength IV'!AH13)</f>
        <v>4060.8016663857943</v>
      </c>
      <c r="AJ13" s="26">
        <f>MIN('Strength 1a'!AI13,'Strength 1b'!AI13,'Strength IV'!AI13)</f>
        <v>0</v>
      </c>
      <c r="AK13" s="30">
        <f>MIN('Strength 1a'!AJ13,'Strength 1b'!AJ13,'Strength IV'!AJ13)</f>
        <v>0</v>
      </c>
      <c r="AL13" s="26">
        <f>MIN('Strength 1a'!AK13,'Strength 1b'!AK13,'Strength IV'!AK13)</f>
        <v>14700</v>
      </c>
      <c r="AM13" s="26">
        <f>MIN('Strength 1a'!AL13,'Strength 1b'!AL13,'Strength IV'!AL13)</f>
        <v>0</v>
      </c>
      <c r="AN13" s="26">
        <f>MIN('Strength 1a'!AM13,'Strength 1b'!AM13,'Strength IV'!AM13)</f>
        <v>0</v>
      </c>
      <c r="AO13" s="26">
        <f>MIN('Strength 1a'!AN13,'Strength 1b'!AN13)</f>
        <v>4375</v>
      </c>
      <c r="AP13" s="29">
        <f>MIN('Strength 1a'!AO13,'Strength 1b'!AO13,'Strength IV'!AO13)</f>
        <v>0</v>
      </c>
      <c r="AQ13" s="26">
        <f>MIN('Strength 1a'!AP13,'Strength 1b'!AP13,'Strength IV'!AP13)</f>
        <v>3430</v>
      </c>
      <c r="AR13" s="26">
        <f>MIN('Strength 1a'!AQ13,'Strength 1b'!AQ13,'Strength IV'!AQ13)</f>
        <v>0</v>
      </c>
      <c r="AS13" s="26">
        <f>MIN('Strength 1a'!AR13,'Strength 1b'!AR13,'Strength IV'!AR13)</f>
        <v>0</v>
      </c>
      <c r="AT13" s="26">
        <f>MIN('Strength 1a'!AS13,'Strength 1b'!AS13)</f>
        <v>1166.6666666666665</v>
      </c>
      <c r="AU13" s="26">
        <f>MIN('Strength 1a'!AT13,'Strength 1b'!AT13)</f>
        <v>0</v>
      </c>
      <c r="AV13" s="26">
        <f>MIN('Strength 1a'!AU13,'Strength 1b'!AU13)</f>
        <v>0</v>
      </c>
      <c r="AW13" s="26">
        <f>MIN('Strength 1a'!AV13,'Strength 1b'!AV13,'Strength IV'!AV13)</f>
        <v>5145</v>
      </c>
      <c r="AX13" s="26">
        <f>MIN('Strength 1a'!AW13,'Strength 1b'!AW13,'Strength IV'!AW13)</f>
        <v>8487.048957087498</v>
      </c>
      <c r="AY13" s="26">
        <f>MIN('Strength 1a'!AX13,'Strength 1b'!AX13,'Strength IV'!AX13)</f>
        <v>14700</v>
      </c>
      <c r="AZ13" s="26">
        <f>'Strength 1b'!AY13</f>
        <v>24220</v>
      </c>
      <c r="BA13" s="26">
        <f>MIN('Strength 1a'!AZ13,'Strength 1b'!AZ13,'Strength IV'!AZ13)</f>
        <v>73500</v>
      </c>
      <c r="BB13" s="26">
        <f>'Strength 1b'!BA13</f>
        <v>121100</v>
      </c>
      <c r="BC13" s="26">
        <f>MAX('Strength 1a'!BB13,'Strength 1b'!BB13,'Strength IV'!BB13)</f>
        <v>38301.666666666664</v>
      </c>
      <c r="BD13" s="26">
        <f>'Strength 1b'!BB13</f>
        <v>38301.666666666664</v>
      </c>
      <c r="BE13" s="30">
        <f>MAX('Strength 1a'!BC13,'Strength 1b'!BC13,'Strength IV'!BC13)</f>
        <v>2.605555555555555</v>
      </c>
      <c r="BF13" s="30">
        <f>'Strength 1b'!BD13</f>
        <v>1.5814065510597297</v>
      </c>
      <c r="BG13" s="30">
        <f>'Strength 1b'!BE13</f>
        <v>6.837186897880541</v>
      </c>
      <c r="BH13" s="30">
        <f>MIN('Strength 1a'!BF13,'Strength 1b'!BF13,'Strength IV'!BF13)</f>
        <v>2.5</v>
      </c>
      <c r="BI13" s="30">
        <f>MIN('Strength 1a'!BG13,'Strength 1b'!BG13,'Strength IV'!BG13)</f>
        <v>30.139627791519086</v>
      </c>
      <c r="BJ13" s="30">
        <f>MIN('Strength 1a'!BH13,'Strength 1b'!BH13,'Strength IV'!BH13)</f>
        <v>18.401122218708668</v>
      </c>
      <c r="BK13" s="30">
        <f>MIN('Strength 1a'!BI13,'Strength 1b'!BI13,'Strength IV'!BI13)</f>
        <v>22.402486271104557</v>
      </c>
      <c r="BL13" s="29">
        <f>MIN('Strength 1a'!BJ13,'Strength 1b'!BJ13,'Strength IV'!BJ13)</f>
        <v>0</v>
      </c>
      <c r="BM13" s="31">
        <f>MIN('Strength 1a'!BK13,'Strength 1b'!BK13,'Strength IV'!BK13)</f>
        <v>0.3333333333333333</v>
      </c>
      <c r="BN13" s="29">
        <f>MIN('Strength 1a'!BL13,'Strength 1b'!BL13,'Strength IV'!BL13)</f>
        <v>0</v>
      </c>
      <c r="BO13" s="31">
        <f>MIN('Strength 1a'!BM13,'Strength 1b'!BM13,'Strength IV'!BM13)</f>
        <v>0</v>
      </c>
      <c r="BP13" s="29">
        <f>MIN('Strength 1a'!BN13,'Strength 1b'!BN13,'Strength IV'!BN13)</f>
        <v>0</v>
      </c>
      <c r="BQ13" s="31">
        <f>MIN('Strength 1a'!BO13,'Strength 1b'!BO13,'Strength IV'!BO13)</f>
        <v>0</v>
      </c>
      <c r="BR13" s="192">
        <f t="shared" si="4"/>
        <v>0.017453292519943295</v>
      </c>
      <c r="BS13" s="192">
        <f t="shared" si="5"/>
        <v>0.5773502691896257</v>
      </c>
      <c r="BT13" s="192">
        <f t="shared" si="6"/>
        <v>0</v>
      </c>
      <c r="BU13" s="3" t="s">
        <v>1</v>
      </c>
      <c r="BV13" s="193">
        <v>1</v>
      </c>
      <c r="BW13" s="30">
        <f>MIN('Strength 1a'!BU13,'Strength 1b'!BU13,'Strength IV'!BU13)</f>
        <v>0</v>
      </c>
      <c r="BX13" s="31">
        <f>MIN('Strength 1a'!BV13,'Strength 1b'!BV13,'Strength IV'!BV13)</f>
        <v>0</v>
      </c>
      <c r="BY13" s="31">
        <f>MIN('Strength 1a'!BW13,'Strength 1b'!BW13,'Strength IV'!BW13)</f>
        <v>1</v>
      </c>
      <c r="BZ13" s="31">
        <f>MIN('Strength 1a'!BX13,'Strength 1b'!BX13,'Strength IV'!BX13)</f>
        <v>1</v>
      </c>
      <c r="CA13" s="31">
        <f>MIN('Strength 1a'!BY13,'Strength 1b'!BY13,'Strength IV'!BY13)</f>
        <v>0.7500000000000001</v>
      </c>
      <c r="CB13" s="31">
        <f>MIN('Strength 1a'!BZ13,'Strength 1b'!BZ13,'Strength IV'!BZ13)</f>
        <v>1</v>
      </c>
      <c r="CC13" s="31">
        <f>MIN('Strength 1a'!CA13,'Strength 1b'!CA13,'Strength IV'!CA13)</f>
        <v>1</v>
      </c>
      <c r="CD13" s="31">
        <f>MIN('Strength 1a'!CB13,'Strength 1b'!CB13,'Strength IV'!CB13)</f>
        <v>0</v>
      </c>
      <c r="CE13" s="31">
        <f>MIN('Strength 1a'!CC13,'Strength 1b'!CC13,'Strength IV'!CC13)</f>
        <v>0.4999999999999999</v>
      </c>
      <c r="CF13" s="31">
        <f>MIN('Strength 1a'!CD13,'Strength 1b'!CD13,'Strength IV'!CD13)</f>
        <v>0.5000000000000001</v>
      </c>
      <c r="CG13" s="31">
        <f>MIN('Strength 1a'!CE13,'Strength 1b'!CE13,'Strength IV'!CE13)</f>
        <v>1.5</v>
      </c>
      <c r="CH13" s="31">
        <f>MIN('Strength 1a'!CF13,'Strength 1b'!CF13,'Strength IV'!CF13)</f>
        <v>0.3333333333333334</v>
      </c>
      <c r="CI13" s="31">
        <f>MIN('Strength 1a'!CG13,'Strength 1b'!CG13,'Strength IV'!CG13)</f>
        <v>0.4999999999999999</v>
      </c>
      <c r="CJ13" s="31">
        <f>MIN('Strength 1a'!CH13,'Strength 1b'!CH13,'Strength IV'!CH13)</f>
        <v>0.5000000000000001</v>
      </c>
      <c r="CK13" s="31">
        <f>MIN('Strength 1a'!CI13,'Strength 1b'!CI13,'Strength IV'!CI13)</f>
        <v>1.5</v>
      </c>
      <c r="CL13" s="31">
        <f>MIN('Strength 1a'!CJ13,'Strength 1b'!CJ13,'Strength IV'!CJ13)</f>
        <v>0.3333333333333334</v>
      </c>
    </row>
    <row r="14" spans="1:90" ht="15.75">
      <c r="A14" s="45" t="s">
        <v>61</v>
      </c>
      <c r="B14" s="42">
        <v>4</v>
      </c>
      <c r="C14" s="32">
        <f t="shared" si="0"/>
        <v>16</v>
      </c>
      <c r="D14" s="185">
        <v>14</v>
      </c>
      <c r="E14" s="186">
        <v>2</v>
      </c>
      <c r="F14" s="187">
        <v>12</v>
      </c>
      <c r="G14" s="194" t="str">
        <f t="shared" si="7"/>
        <v>OK</v>
      </c>
      <c r="H14" s="33">
        <f>MIN('Strength 1a'!G14,'Strength 1b'!G14,'Strength IV'!G14)</f>
        <v>2.219178082191781</v>
      </c>
      <c r="I14" s="33">
        <f>MAX('Strength 1a'!H14,'Strength 1b'!H14,'Strength IV'!H14)</f>
        <v>0.9012345679012345</v>
      </c>
      <c r="J14" s="33">
        <f>MIN('Strength 1a'!I14,'Strength 1b'!I14,'Strength IV'!I14)</f>
        <v>1.285645960257311</v>
      </c>
      <c r="K14" s="33">
        <f>MIN('Strength 1a'!J14,'Strength 1b'!J14,'Strength IV'!J14)</f>
        <v>1.3098139329185743</v>
      </c>
      <c r="L14" s="185">
        <v>0</v>
      </c>
      <c r="M14" s="185">
        <v>200</v>
      </c>
      <c r="N14" s="188">
        <f t="shared" si="1"/>
        <v>0</v>
      </c>
      <c r="O14" s="188">
        <f t="shared" si="2"/>
        <v>1</v>
      </c>
      <c r="P14" s="185">
        <v>0</v>
      </c>
      <c r="Q14" s="185">
        <v>105</v>
      </c>
      <c r="R14" s="185">
        <v>105</v>
      </c>
      <c r="S14" s="185">
        <v>30</v>
      </c>
      <c r="T14" s="185">
        <f t="shared" si="8"/>
        <v>0</v>
      </c>
      <c r="U14" s="185">
        <v>105</v>
      </c>
      <c r="V14" s="185">
        <v>30</v>
      </c>
      <c r="W14" s="185">
        <v>0</v>
      </c>
      <c r="X14" s="185">
        <v>30</v>
      </c>
      <c r="Y14" s="189">
        <v>90</v>
      </c>
      <c r="Z14" s="190" t="s">
        <v>82</v>
      </c>
      <c r="AA14" s="191">
        <v>250</v>
      </c>
      <c r="AB14" s="191">
        <v>250</v>
      </c>
      <c r="AC14" s="47" t="s">
        <v>61</v>
      </c>
      <c r="AD14" s="49">
        <f t="shared" si="3"/>
        <v>0.5</v>
      </c>
      <c r="AG14" s="104" t="s">
        <v>41</v>
      </c>
      <c r="AH14" s="26">
        <f>MAX('Strength 1a'!AG14,'Strength 1b'!AG14,'Strength IV'!AG14)</f>
        <v>3756.6689175703546</v>
      </c>
      <c r="AI14" s="44">
        <f>MIN('Strength 1a'!AH14,'Strength 1b'!AH14,'Strength IV'!AH14)</f>
        <v>4618.963940361907</v>
      </c>
      <c r="AJ14" s="26">
        <f>MIN('Strength 1a'!AI14,'Strength 1b'!AI14,'Strength IV'!AI14)</f>
        <v>0</v>
      </c>
      <c r="AK14" s="30">
        <f>MIN('Strength 1a'!AJ14,'Strength 1b'!AJ14,'Strength IV'!AJ14)</f>
        <v>0</v>
      </c>
      <c r="AL14" s="26">
        <f>MIN('Strength 1a'!AK14,'Strength 1b'!AK14,'Strength IV'!AK14)</f>
        <v>20160</v>
      </c>
      <c r="AM14" s="26">
        <f>MIN('Strength 1a'!AL14,'Strength 1b'!AL14,'Strength IV'!AL14)</f>
        <v>0</v>
      </c>
      <c r="AN14" s="26">
        <f>MIN('Strength 1a'!AM14,'Strength 1b'!AM14,'Strength IV'!AM14)</f>
        <v>0</v>
      </c>
      <c r="AO14" s="26">
        <f>MIN('Strength 1a'!AN14,'Strength 1b'!AN14)</f>
        <v>5250</v>
      </c>
      <c r="AP14" s="29">
        <f>MIN('Strength 1a'!AO14,'Strength 1b'!AO14,'Strength IV'!AO14)</f>
        <v>0</v>
      </c>
      <c r="AQ14" s="26">
        <f>MIN('Strength 1a'!AP14,'Strength 1b'!AP14,'Strength IV'!AP14)</f>
        <v>4480</v>
      </c>
      <c r="AR14" s="26">
        <f>MIN('Strength 1a'!AQ14,'Strength 1b'!AQ14,'Strength IV'!AQ14)</f>
        <v>0</v>
      </c>
      <c r="AS14" s="26">
        <f>MIN('Strength 1a'!AR14,'Strength 1b'!AR14,'Strength IV'!AR14)</f>
        <v>0</v>
      </c>
      <c r="AT14" s="26">
        <f>MIN('Strength 1a'!AS14,'Strength 1b'!AS14)</f>
        <v>1333.3333333333333</v>
      </c>
      <c r="AU14" s="26">
        <f>MIN('Strength 1a'!AT14,'Strength 1b'!AT14)</f>
        <v>0</v>
      </c>
      <c r="AV14" s="26">
        <f>MIN('Strength 1a'!AU14,'Strength 1b'!AU14)</f>
        <v>0</v>
      </c>
      <c r="AW14" s="26">
        <f>MIN('Strength 1a'!AV14,'Strength 1b'!AV14,'Strength IV'!AV14)</f>
        <v>6720</v>
      </c>
      <c r="AX14" s="26">
        <f>MIN('Strength 1a'!AW14,'Strength 1b'!AW14,'Strength IV'!AW14)</f>
        <v>11639.381426862854</v>
      </c>
      <c r="AY14" s="26">
        <f>MIN('Strength 1a'!AX14,'Strength 1b'!AX14,'Strength IV'!AX14)</f>
        <v>20160</v>
      </c>
      <c r="AZ14" s="26">
        <f>'Strength 1b'!AY14</f>
        <v>32466</v>
      </c>
      <c r="BA14" s="26">
        <f>MIN('Strength 1a'!AZ14,'Strength 1b'!AZ14,'Strength IV'!AZ14)</f>
        <v>120960</v>
      </c>
      <c r="BB14" s="26">
        <f>'Strength 1b'!BA14</f>
        <v>194796</v>
      </c>
      <c r="BC14" s="26">
        <f>MAX('Strength 1a'!BB14,'Strength 1b'!BB14,'Strength IV'!BB14)</f>
        <v>54506.666666666664</v>
      </c>
      <c r="BD14" s="26">
        <f>'Strength 1b'!BB14</f>
        <v>54506.666666666664</v>
      </c>
      <c r="BE14" s="30">
        <f>MAX('Strength 1a'!BC14,'Strength 1b'!BC14,'Strength IV'!BC14)</f>
        <v>2.7037037037037033</v>
      </c>
      <c r="BF14" s="30">
        <f>'Strength 1b'!BD14</f>
        <v>1.6788845766853528</v>
      </c>
      <c r="BG14" s="30">
        <f>'Strength 1b'!BE14</f>
        <v>8.642230846629294</v>
      </c>
      <c r="BH14" s="30">
        <f>MIN('Strength 1a'!BF14,'Strength 1b'!BF14,'Strength IV'!BF14)</f>
        <v>3</v>
      </c>
      <c r="BI14" s="30">
        <f>MIN('Strength 1a'!BG14,'Strength 1b'!BG14,'Strength IV'!BG14)</f>
        <v>30.139627791519086</v>
      </c>
      <c r="BJ14" s="30">
        <f>MIN('Strength 1a'!BH14,'Strength 1b'!BH14,'Strength IV'!BH14)</f>
        <v>18.401122218708668</v>
      </c>
      <c r="BK14" s="30">
        <f>MIN('Strength 1a'!BI14,'Strength 1b'!BI14,'Strength IV'!BI14)</f>
        <v>22.402486271104557</v>
      </c>
      <c r="BL14" s="29">
        <f>MIN('Strength 1a'!BJ14,'Strength 1b'!BJ14,'Strength IV'!BJ14)</f>
        <v>0</v>
      </c>
      <c r="BM14" s="31">
        <f>MIN('Strength 1a'!BK14,'Strength 1b'!BK14,'Strength IV'!BK14)</f>
        <v>0.3333333333333333</v>
      </c>
      <c r="BN14" s="29">
        <f>MIN('Strength 1a'!BL14,'Strength 1b'!BL14,'Strength IV'!BL14)</f>
        <v>0</v>
      </c>
      <c r="BO14" s="31">
        <f>MIN('Strength 1a'!BM14,'Strength 1b'!BM14,'Strength IV'!BM14)</f>
        <v>0</v>
      </c>
      <c r="BP14" s="29">
        <f>MIN('Strength 1a'!BN14,'Strength 1b'!BN14,'Strength IV'!BN14)</f>
        <v>0</v>
      </c>
      <c r="BQ14" s="31">
        <f>MIN('Strength 1a'!BO14,'Strength 1b'!BO14,'Strength IV'!BO14)</f>
        <v>0</v>
      </c>
      <c r="BR14" s="235">
        <f t="shared" si="4"/>
        <v>0.017453292519943295</v>
      </c>
      <c r="BS14" s="235">
        <f t="shared" si="5"/>
        <v>0.5773502691896257</v>
      </c>
      <c r="BT14" s="235">
        <f t="shared" si="6"/>
        <v>0</v>
      </c>
      <c r="BU14" s="204" t="s">
        <v>1</v>
      </c>
      <c r="BV14" s="193">
        <f aca="true" t="shared" si="9" ref="BV14:BV44">BV13+1</f>
        <v>2</v>
      </c>
      <c r="BW14" s="30">
        <f>MIN('Strength 1a'!BU14,'Strength 1b'!BU14,'Strength IV'!BU14)</f>
        <v>0</v>
      </c>
      <c r="BX14" s="31">
        <f>MIN('Strength 1a'!BV14,'Strength 1b'!BV14,'Strength IV'!BV14)</f>
        <v>0</v>
      </c>
      <c r="BY14" s="31">
        <f>MIN('Strength 1a'!BW14,'Strength 1b'!BW14,'Strength IV'!BW14)</f>
        <v>1</v>
      </c>
      <c r="BZ14" s="31">
        <f>MIN('Strength 1a'!BX14,'Strength 1b'!BX14,'Strength IV'!BX14)</f>
        <v>1</v>
      </c>
      <c r="CA14" s="31">
        <f>MIN('Strength 1a'!BY14,'Strength 1b'!BY14,'Strength IV'!BY14)</f>
        <v>0.7500000000000001</v>
      </c>
      <c r="CB14" s="31">
        <f>MIN('Strength 1a'!BZ14,'Strength 1b'!BZ14,'Strength IV'!BZ14)</f>
        <v>1</v>
      </c>
      <c r="CC14" s="31">
        <f>MIN('Strength 1a'!CA14,'Strength 1b'!CA14,'Strength IV'!CA14)</f>
        <v>1</v>
      </c>
      <c r="CD14" s="31">
        <f>MIN('Strength 1a'!CB14,'Strength 1b'!CB14,'Strength IV'!CB14)</f>
        <v>0</v>
      </c>
      <c r="CE14" s="31">
        <f>MIN('Strength 1a'!CC14,'Strength 1b'!CC14,'Strength IV'!CC14)</f>
        <v>0.4999999999999999</v>
      </c>
      <c r="CF14" s="31">
        <f>MIN('Strength 1a'!CD14,'Strength 1b'!CD14,'Strength IV'!CD14)</f>
        <v>0.5000000000000001</v>
      </c>
      <c r="CG14" s="31">
        <f>MIN('Strength 1a'!CE14,'Strength 1b'!CE14,'Strength IV'!CE14)</f>
        <v>1.5</v>
      </c>
      <c r="CH14" s="31">
        <f>MIN('Strength 1a'!CF14,'Strength 1b'!CF14,'Strength IV'!CF14)</f>
        <v>0.3333333333333334</v>
      </c>
      <c r="CI14" s="31">
        <f>MIN('Strength 1a'!CG14,'Strength 1b'!CG14,'Strength IV'!CG14)</f>
        <v>0.4999999999999999</v>
      </c>
      <c r="CJ14" s="31">
        <f>MIN('Strength 1a'!CH14,'Strength 1b'!CH14,'Strength IV'!CH14)</f>
        <v>0.5000000000000001</v>
      </c>
      <c r="CK14" s="31">
        <f>MIN('Strength 1a'!CI14,'Strength 1b'!CI14,'Strength IV'!CI14)</f>
        <v>1.5</v>
      </c>
      <c r="CL14" s="31">
        <f>MIN('Strength 1a'!CJ14,'Strength 1b'!CJ14,'Strength IV'!CJ14)</f>
        <v>0.3333333333333334</v>
      </c>
    </row>
    <row r="15" spans="1:90" ht="15.75">
      <c r="A15" s="45" t="s">
        <v>61</v>
      </c>
      <c r="B15" s="42">
        <v>5</v>
      </c>
      <c r="C15" s="32">
        <f t="shared" si="0"/>
        <v>18</v>
      </c>
      <c r="D15" s="185">
        <v>16</v>
      </c>
      <c r="E15" s="186">
        <v>2</v>
      </c>
      <c r="F15" s="187">
        <v>13</v>
      </c>
      <c r="G15" s="194" t="str">
        <f t="shared" si="7"/>
        <v>OK</v>
      </c>
      <c r="H15" s="33">
        <f>MIN('Strength 1a'!G15,'Strength 1b'!G15,'Strength IV'!G15)</f>
        <v>2.1392405063291138</v>
      </c>
      <c r="I15" s="33">
        <f>MAX('Strength 1a'!H15,'Strength 1b'!H15,'Strength IV'!H15)</f>
        <v>0.9349112426035503</v>
      </c>
      <c r="J15" s="33">
        <f>MIN('Strength 1a'!I15,'Strength 1b'!I15,'Strength IV'!I15)</f>
        <v>1.2745279527393625</v>
      </c>
      <c r="K15" s="33">
        <f>MIN('Strength 1a'!J15,'Strength 1b'!J15,'Strength IV'!J15)</f>
        <v>1.1988976983670834</v>
      </c>
      <c r="L15" s="185">
        <v>0</v>
      </c>
      <c r="M15" s="185">
        <v>200</v>
      </c>
      <c r="N15" s="188">
        <f t="shared" si="1"/>
        <v>0</v>
      </c>
      <c r="O15" s="188">
        <f t="shared" si="2"/>
        <v>1</v>
      </c>
      <c r="P15" s="185">
        <v>0</v>
      </c>
      <c r="Q15" s="185">
        <v>105</v>
      </c>
      <c r="R15" s="185">
        <v>105</v>
      </c>
      <c r="S15" s="185">
        <v>30</v>
      </c>
      <c r="T15" s="185">
        <f t="shared" si="8"/>
        <v>0</v>
      </c>
      <c r="U15" s="185">
        <v>105</v>
      </c>
      <c r="V15" s="185">
        <v>30</v>
      </c>
      <c r="W15" s="185">
        <v>0</v>
      </c>
      <c r="X15" s="185">
        <v>30</v>
      </c>
      <c r="Y15" s="189">
        <v>90</v>
      </c>
      <c r="Z15" s="190" t="s">
        <v>82</v>
      </c>
      <c r="AA15" s="191">
        <v>250</v>
      </c>
      <c r="AB15" s="191">
        <v>250</v>
      </c>
      <c r="AC15" s="47" t="s">
        <v>61</v>
      </c>
      <c r="AD15" s="49">
        <f t="shared" si="3"/>
        <v>0.5</v>
      </c>
      <c r="AG15" s="104" t="s">
        <v>43</v>
      </c>
      <c r="AH15" s="26">
        <f>MAX('Strength 1a'!AG15,'Strength 1b'!AG15,'Strength IV'!AG15)</f>
        <v>4243.212224342455</v>
      </c>
      <c r="AI15" s="44">
        <f>MIN('Strength 1a'!AH15,'Strength 1b'!AH15,'Strength IV'!AH15)</f>
        <v>4733.955158940064</v>
      </c>
      <c r="AJ15" s="26">
        <f>MIN('Strength 1a'!AI15,'Strength 1b'!AI15,'Strength IV'!AI15)</f>
        <v>0</v>
      </c>
      <c r="AK15" s="30">
        <f>MIN('Strength 1a'!AJ15,'Strength 1b'!AJ15,'Strength IV'!AJ15)</f>
        <v>0</v>
      </c>
      <c r="AL15" s="26">
        <f>MIN('Strength 1a'!AK15,'Strength 1b'!AK15,'Strength IV'!AK15)</f>
        <v>24570</v>
      </c>
      <c r="AM15" s="26">
        <f>MIN('Strength 1a'!AL15,'Strength 1b'!AL15,'Strength IV'!AL15)</f>
        <v>0</v>
      </c>
      <c r="AN15" s="26">
        <f>MIN('Strength 1a'!AM15,'Strength 1b'!AM15,'Strength IV'!AM15)</f>
        <v>0</v>
      </c>
      <c r="AO15" s="26">
        <f>MIN('Strength 1a'!AN15,'Strength 1b'!AN15)</f>
        <v>5687.5</v>
      </c>
      <c r="AP15" s="29">
        <f>MIN('Strength 1a'!AO15,'Strength 1b'!AO15,'Strength IV'!AO15)</f>
        <v>0</v>
      </c>
      <c r="AQ15" s="26">
        <f>MIN('Strength 1a'!AP15,'Strength 1b'!AP15,'Strength IV'!AP15)</f>
        <v>5670</v>
      </c>
      <c r="AR15" s="26">
        <f>MIN('Strength 1a'!AQ15,'Strength 1b'!AQ15,'Strength IV'!AQ15)</f>
        <v>0</v>
      </c>
      <c r="AS15" s="26">
        <f>MIN('Strength 1a'!AR15,'Strength 1b'!AR15,'Strength IV'!AR15)</f>
        <v>0</v>
      </c>
      <c r="AT15" s="26">
        <f>MIN('Strength 1a'!AS15,'Strength 1b'!AS15)</f>
        <v>1500</v>
      </c>
      <c r="AU15" s="26">
        <f>MIN('Strength 1a'!AT15,'Strength 1b'!AT15)</f>
        <v>0</v>
      </c>
      <c r="AV15" s="26">
        <f>MIN('Strength 1a'!AU15,'Strength 1b'!AU15)</f>
        <v>0</v>
      </c>
      <c r="AW15" s="26">
        <f>MIN('Strength 1a'!AV15,'Strength 1b'!AV15,'Strength IV'!AV15)</f>
        <v>8505</v>
      </c>
      <c r="AX15" s="26">
        <f>MIN('Strength 1a'!AW15,'Strength 1b'!AW15,'Strength IV'!AW15)</f>
        <v>14185.496113989104</v>
      </c>
      <c r="AY15" s="26">
        <f>MIN('Strength 1a'!AX15,'Strength 1b'!AX15,'Strength IV'!AX15)</f>
        <v>24570</v>
      </c>
      <c r="AZ15" s="26">
        <f>'Strength 1b'!AY15</f>
        <v>38857</v>
      </c>
      <c r="BA15" s="26">
        <f>MIN('Strength 1a'!AZ15,'Strength 1b'!AZ15,'Strength IV'!AZ15)</f>
        <v>159705</v>
      </c>
      <c r="BB15" s="26">
        <f>'Strength 1b'!BA15</f>
        <v>252570.5</v>
      </c>
      <c r="BC15" s="26">
        <f>MAX('Strength 1a'!BB15,'Strength 1b'!BB15,'Strength IV'!BB15)</f>
        <v>74655</v>
      </c>
      <c r="BD15" s="26">
        <f>'Strength 1b'!BB15</f>
        <v>74655</v>
      </c>
      <c r="BE15" s="30">
        <f>MAX('Strength 1a'!BC15,'Strength 1b'!BC15,'Strength IV'!BC15)</f>
        <v>3.0384615384615383</v>
      </c>
      <c r="BF15" s="30">
        <f>'Strength 1b'!BD15</f>
        <v>1.9212754458656098</v>
      </c>
      <c r="BG15" s="30">
        <f>'Strength 1b'!BE15</f>
        <v>9.15744910826878</v>
      </c>
      <c r="BH15" s="30">
        <f>MIN('Strength 1a'!BF15,'Strength 1b'!BF15,'Strength IV'!BF15)</f>
        <v>3.25</v>
      </c>
      <c r="BI15" s="30">
        <f>MIN('Strength 1a'!BG15,'Strength 1b'!BG15,'Strength IV'!BG15)</f>
        <v>30.139627791519086</v>
      </c>
      <c r="BJ15" s="30">
        <f>MIN('Strength 1a'!BH15,'Strength 1b'!BH15,'Strength IV'!BH15)</f>
        <v>18.401122218708668</v>
      </c>
      <c r="BK15" s="30">
        <f>MIN('Strength 1a'!BI15,'Strength 1b'!BI15,'Strength IV'!BI15)</f>
        <v>22.402486271104557</v>
      </c>
      <c r="BL15" s="29">
        <f>MIN('Strength 1a'!BJ15,'Strength 1b'!BJ15,'Strength IV'!BJ15)</f>
        <v>0</v>
      </c>
      <c r="BM15" s="31">
        <f>MIN('Strength 1a'!BK15,'Strength 1b'!BK15,'Strength IV'!BK15)</f>
        <v>0.3333333333333333</v>
      </c>
      <c r="BN15" s="29">
        <f>MIN('Strength 1a'!BL15,'Strength 1b'!BL15,'Strength IV'!BL15)</f>
        <v>0</v>
      </c>
      <c r="BO15" s="31">
        <f>MIN('Strength 1a'!BM15,'Strength 1b'!BM15,'Strength IV'!BM15)</f>
        <v>0</v>
      </c>
      <c r="BP15" s="29">
        <f>MIN('Strength 1a'!BN15,'Strength 1b'!BN15,'Strength IV'!BN15)</f>
        <v>0</v>
      </c>
      <c r="BQ15" s="31">
        <f>MIN('Strength 1a'!BO15,'Strength 1b'!BO15,'Strength IV'!BO15)</f>
        <v>0</v>
      </c>
      <c r="BR15" s="192">
        <f t="shared" si="4"/>
        <v>0.017453292519943295</v>
      </c>
      <c r="BS15" s="192">
        <f t="shared" si="5"/>
        <v>0.5773502691896257</v>
      </c>
      <c r="BT15" s="192">
        <f t="shared" si="6"/>
        <v>0</v>
      </c>
      <c r="BU15" s="3" t="s">
        <v>1</v>
      </c>
      <c r="BV15" s="193">
        <f t="shared" si="9"/>
        <v>3</v>
      </c>
      <c r="BW15" s="30">
        <f>MIN('Strength 1a'!BU15,'Strength 1b'!BU15,'Strength IV'!BU15)</f>
        <v>0</v>
      </c>
      <c r="BX15" s="31">
        <f>MIN('Strength 1a'!BV15,'Strength 1b'!BV15,'Strength IV'!BV15)</f>
        <v>0</v>
      </c>
      <c r="BY15" s="31">
        <f>MIN('Strength 1a'!BW15,'Strength 1b'!BW15,'Strength IV'!BW15)</f>
        <v>1</v>
      </c>
      <c r="BZ15" s="31">
        <f>MIN('Strength 1a'!BX15,'Strength 1b'!BX15,'Strength IV'!BX15)</f>
        <v>1</v>
      </c>
      <c r="CA15" s="31">
        <f>MIN('Strength 1a'!BY15,'Strength 1b'!BY15,'Strength IV'!BY15)</f>
        <v>0.7500000000000001</v>
      </c>
      <c r="CB15" s="31">
        <f>MIN('Strength 1a'!BZ15,'Strength 1b'!BZ15,'Strength IV'!BZ15)</f>
        <v>1</v>
      </c>
      <c r="CC15" s="31">
        <f>MIN('Strength 1a'!CA15,'Strength 1b'!CA15,'Strength IV'!CA15)</f>
        <v>1</v>
      </c>
      <c r="CD15" s="31">
        <f>MIN('Strength 1a'!CB15,'Strength 1b'!CB15,'Strength IV'!CB15)</f>
        <v>0</v>
      </c>
      <c r="CE15" s="31">
        <f>MIN('Strength 1a'!CC15,'Strength 1b'!CC15,'Strength IV'!CC15)</f>
        <v>0.4999999999999999</v>
      </c>
      <c r="CF15" s="31">
        <f>MIN('Strength 1a'!CD15,'Strength 1b'!CD15,'Strength IV'!CD15)</f>
        <v>0.5000000000000001</v>
      </c>
      <c r="CG15" s="31">
        <f>MIN('Strength 1a'!CE15,'Strength 1b'!CE15,'Strength IV'!CE15)</f>
        <v>1.5</v>
      </c>
      <c r="CH15" s="31">
        <f>MIN('Strength 1a'!CF15,'Strength 1b'!CF15,'Strength IV'!CF15)</f>
        <v>0.3333333333333334</v>
      </c>
      <c r="CI15" s="31">
        <f>MIN('Strength 1a'!CG15,'Strength 1b'!CG15,'Strength IV'!CG15)</f>
        <v>0.4999999999999999</v>
      </c>
      <c r="CJ15" s="31">
        <f>MIN('Strength 1a'!CH15,'Strength 1b'!CH15,'Strength IV'!CH15)</f>
        <v>0.5000000000000001</v>
      </c>
      <c r="CK15" s="31">
        <f>MIN('Strength 1a'!CI15,'Strength 1b'!CI15,'Strength IV'!CI15)</f>
        <v>1.5</v>
      </c>
      <c r="CL15" s="31">
        <f>MIN('Strength 1a'!CJ15,'Strength 1b'!CJ15,'Strength IV'!CJ15)</f>
        <v>0.3333333333333334</v>
      </c>
    </row>
    <row r="16" spans="1:90" ht="15.75">
      <c r="A16" s="45" t="s">
        <v>61</v>
      </c>
      <c r="B16" s="42">
        <v>6</v>
      </c>
      <c r="C16" s="32">
        <f t="shared" si="0"/>
        <v>20</v>
      </c>
      <c r="D16" s="185">
        <v>18</v>
      </c>
      <c r="E16" s="186">
        <v>2</v>
      </c>
      <c r="F16" s="187">
        <v>14</v>
      </c>
      <c r="G16" s="194" t="str">
        <f t="shared" si="7"/>
        <v>OK</v>
      </c>
      <c r="H16" s="33">
        <f>MIN('Strength 1a'!G16,'Strength 1b'!G16,'Strength IV'!G16)</f>
        <v>2.075294117647059</v>
      </c>
      <c r="I16" s="33">
        <f>MAX('Strength 1a'!H16,'Strength 1b'!H16,'Strength IV'!H16)</f>
        <v>0.9637188208616779</v>
      </c>
      <c r="J16" s="33">
        <f>MIN('Strength 1a'!I16,'Strength 1b'!I16,'Strength IV'!I16)</f>
        <v>1.2651501550937885</v>
      </c>
      <c r="K16" s="33">
        <f>MIN('Strength 1a'!J16,'Strength 1b'!J16,'Strength IV'!J16)</f>
        <v>1.1089035648265244</v>
      </c>
      <c r="L16" s="185">
        <v>0</v>
      </c>
      <c r="M16" s="185">
        <v>200</v>
      </c>
      <c r="N16" s="188">
        <f t="shared" si="1"/>
        <v>0</v>
      </c>
      <c r="O16" s="188">
        <f t="shared" si="2"/>
        <v>1</v>
      </c>
      <c r="P16" s="185">
        <v>0</v>
      </c>
      <c r="Q16" s="185">
        <v>105</v>
      </c>
      <c r="R16" s="185">
        <v>105</v>
      </c>
      <c r="S16" s="185">
        <v>30</v>
      </c>
      <c r="T16" s="185">
        <f t="shared" si="8"/>
        <v>0</v>
      </c>
      <c r="U16" s="185">
        <v>105</v>
      </c>
      <c r="V16" s="185">
        <v>30</v>
      </c>
      <c r="W16" s="185">
        <v>0</v>
      </c>
      <c r="X16" s="185">
        <v>30</v>
      </c>
      <c r="Y16" s="189">
        <v>90</v>
      </c>
      <c r="Z16" s="190" t="s">
        <v>82</v>
      </c>
      <c r="AA16" s="191">
        <v>250</v>
      </c>
      <c r="AB16" s="191">
        <v>250</v>
      </c>
      <c r="AC16" s="47" t="s">
        <v>61</v>
      </c>
      <c r="AD16" s="49">
        <f t="shared" si="3"/>
        <v>0.5</v>
      </c>
      <c r="AG16" s="104" t="s">
        <v>41</v>
      </c>
      <c r="AH16" s="26">
        <f>MAX('Strength 1a'!AG16,'Strength 1b'!AG16,'Strength IV'!AG16)</f>
        <v>4737.361235452104</v>
      </c>
      <c r="AI16" s="44">
        <f>MIN('Strength 1a'!AH16,'Strength 1b'!AH16,'Strength IV'!AH16)</f>
        <v>4847.714510404174</v>
      </c>
      <c r="AJ16" s="26">
        <f>MIN('Strength 1a'!AI16,'Strength 1b'!AI16,'Strength IV'!AI16)</f>
        <v>0</v>
      </c>
      <c r="AK16" s="30">
        <f>MIN('Strength 1a'!AJ16,'Strength 1b'!AJ16,'Strength IV'!AJ16)</f>
        <v>0</v>
      </c>
      <c r="AL16" s="26">
        <f>MIN('Strength 1a'!AK16,'Strength 1b'!AK16,'Strength IV'!AK16)</f>
        <v>29400</v>
      </c>
      <c r="AM16" s="26">
        <f>MIN('Strength 1a'!AL16,'Strength 1b'!AL16,'Strength IV'!AL16)</f>
        <v>0</v>
      </c>
      <c r="AN16" s="26">
        <f>MIN('Strength 1a'!AM16,'Strength 1b'!AM16,'Strength IV'!AM16)</f>
        <v>0</v>
      </c>
      <c r="AO16" s="26">
        <f>MIN('Strength 1a'!AN16,'Strength 1b'!AN16)</f>
        <v>6125</v>
      </c>
      <c r="AP16" s="29">
        <f>MIN('Strength 1a'!AO16,'Strength 1b'!AO16,'Strength IV'!AO16)</f>
        <v>0</v>
      </c>
      <c r="AQ16" s="26">
        <f>MIN('Strength 1a'!AP16,'Strength 1b'!AP16,'Strength IV'!AP16)</f>
        <v>7000</v>
      </c>
      <c r="AR16" s="26">
        <f>MIN('Strength 1a'!AQ16,'Strength 1b'!AQ16,'Strength IV'!AQ16)</f>
        <v>0</v>
      </c>
      <c r="AS16" s="26">
        <f>MIN('Strength 1a'!AR16,'Strength 1b'!AR16,'Strength IV'!AR16)</f>
        <v>0</v>
      </c>
      <c r="AT16" s="26">
        <f>MIN('Strength 1a'!AS16,'Strength 1b'!AS16)</f>
        <v>1666.6666666666665</v>
      </c>
      <c r="AU16" s="26">
        <f>MIN('Strength 1a'!AT16,'Strength 1b'!AT16)</f>
        <v>0</v>
      </c>
      <c r="AV16" s="26">
        <f>MIN('Strength 1a'!AU16,'Strength 1b'!AU16)</f>
        <v>0</v>
      </c>
      <c r="AW16" s="26">
        <f>MIN('Strength 1a'!AV16,'Strength 1b'!AV16,'Strength IV'!AV16)</f>
        <v>10500</v>
      </c>
      <c r="AX16" s="26">
        <f>MIN('Strength 1a'!AW16,'Strength 1b'!AW16,'Strength IV'!AW16)</f>
        <v>16974.097914174996</v>
      </c>
      <c r="AY16" s="26">
        <f>MIN('Strength 1a'!AX16,'Strength 1b'!AX16,'Strength IV'!AX16)</f>
        <v>29400</v>
      </c>
      <c r="AZ16" s="26">
        <f>'Strength 1b'!AY16</f>
        <v>45815</v>
      </c>
      <c r="BA16" s="26">
        <f>MIN('Strength 1a'!AZ16,'Strength 1b'!AZ16,'Strength IV'!AZ16)</f>
        <v>205800</v>
      </c>
      <c r="BB16" s="26">
        <f>'Strength 1b'!BA16</f>
        <v>320705</v>
      </c>
      <c r="BC16" s="26">
        <f>MAX('Strength 1a'!BB16,'Strength 1b'!BB16,'Strength IV'!BB16)</f>
        <v>99166.66666666666</v>
      </c>
      <c r="BD16" s="26">
        <f>'Strength 1b'!BB16</f>
        <v>99166.66666666666</v>
      </c>
      <c r="BE16" s="30">
        <f>MAX('Strength 1a'!BC16,'Strength 1b'!BC16,'Strength IV'!BC16)</f>
        <v>3.3730158730158726</v>
      </c>
      <c r="BF16" s="30">
        <f>'Strength 1b'!BD16</f>
        <v>2.1645021645021645</v>
      </c>
      <c r="BG16" s="30">
        <f>'Strength 1b'!BE16</f>
        <v>9.670995670995671</v>
      </c>
      <c r="BH16" s="30">
        <f>MIN('Strength 1a'!BF16,'Strength 1b'!BF16,'Strength IV'!BF16)</f>
        <v>3.5</v>
      </c>
      <c r="BI16" s="30">
        <f>MIN('Strength 1a'!BG16,'Strength 1b'!BG16,'Strength IV'!BG16)</f>
        <v>30.139627791519086</v>
      </c>
      <c r="BJ16" s="30">
        <f>MIN('Strength 1a'!BH16,'Strength 1b'!BH16,'Strength IV'!BH16)</f>
        <v>18.401122218708668</v>
      </c>
      <c r="BK16" s="30">
        <f>MIN('Strength 1a'!BI16,'Strength 1b'!BI16,'Strength IV'!BI16)</f>
        <v>22.402486271104557</v>
      </c>
      <c r="BL16" s="29">
        <f>MIN('Strength 1a'!BJ16,'Strength 1b'!BJ16,'Strength IV'!BJ16)</f>
        <v>0</v>
      </c>
      <c r="BM16" s="31">
        <f>MIN('Strength 1a'!BK16,'Strength 1b'!BK16,'Strength IV'!BK16)</f>
        <v>0.3333333333333333</v>
      </c>
      <c r="BN16" s="29">
        <f>MIN('Strength 1a'!BL16,'Strength 1b'!BL16,'Strength IV'!BL16)</f>
        <v>0</v>
      </c>
      <c r="BO16" s="31">
        <f>MIN('Strength 1a'!BM16,'Strength 1b'!BM16,'Strength IV'!BM16)</f>
        <v>0</v>
      </c>
      <c r="BP16" s="29">
        <f>MIN('Strength 1a'!BN16,'Strength 1b'!BN16,'Strength IV'!BN16)</f>
        <v>0</v>
      </c>
      <c r="BQ16" s="31">
        <f>MIN('Strength 1a'!BO16,'Strength 1b'!BO16,'Strength IV'!BO16)</f>
        <v>0</v>
      </c>
      <c r="BR16" s="235">
        <f t="shared" si="4"/>
        <v>0.017453292519943295</v>
      </c>
      <c r="BS16" s="235">
        <f t="shared" si="5"/>
        <v>0.5773502691896257</v>
      </c>
      <c r="BT16" s="235">
        <f t="shared" si="6"/>
        <v>0</v>
      </c>
      <c r="BU16" s="204" t="s">
        <v>1</v>
      </c>
      <c r="BV16" s="193">
        <f t="shared" si="9"/>
        <v>4</v>
      </c>
      <c r="BW16" s="30">
        <f>MIN('Strength 1a'!BU16,'Strength 1b'!BU16,'Strength IV'!BU16)</f>
        <v>0</v>
      </c>
      <c r="BX16" s="31">
        <f>MIN('Strength 1a'!BV16,'Strength 1b'!BV16,'Strength IV'!BV16)</f>
        <v>0</v>
      </c>
      <c r="BY16" s="31">
        <f>MIN('Strength 1a'!BW16,'Strength 1b'!BW16,'Strength IV'!BW16)</f>
        <v>1</v>
      </c>
      <c r="BZ16" s="31">
        <f>MIN('Strength 1a'!BX16,'Strength 1b'!BX16,'Strength IV'!BX16)</f>
        <v>1</v>
      </c>
      <c r="CA16" s="31">
        <f>MIN('Strength 1a'!BY16,'Strength 1b'!BY16,'Strength IV'!BY16)</f>
        <v>0.7500000000000001</v>
      </c>
      <c r="CB16" s="31">
        <f>MIN('Strength 1a'!BZ16,'Strength 1b'!BZ16,'Strength IV'!BZ16)</f>
        <v>1</v>
      </c>
      <c r="CC16" s="31">
        <f>MIN('Strength 1a'!CA16,'Strength 1b'!CA16,'Strength IV'!CA16)</f>
        <v>1</v>
      </c>
      <c r="CD16" s="31">
        <f>MIN('Strength 1a'!CB16,'Strength 1b'!CB16,'Strength IV'!CB16)</f>
        <v>0</v>
      </c>
      <c r="CE16" s="31">
        <f>MIN('Strength 1a'!CC16,'Strength 1b'!CC16,'Strength IV'!CC16)</f>
        <v>0.4999999999999999</v>
      </c>
      <c r="CF16" s="31">
        <f>MIN('Strength 1a'!CD16,'Strength 1b'!CD16,'Strength IV'!CD16)</f>
        <v>0.5000000000000001</v>
      </c>
      <c r="CG16" s="31">
        <f>MIN('Strength 1a'!CE16,'Strength 1b'!CE16,'Strength IV'!CE16)</f>
        <v>1.5</v>
      </c>
      <c r="CH16" s="31">
        <f>MIN('Strength 1a'!CF16,'Strength 1b'!CF16,'Strength IV'!CF16)</f>
        <v>0.3333333333333334</v>
      </c>
      <c r="CI16" s="31">
        <f>MIN('Strength 1a'!CG16,'Strength 1b'!CG16,'Strength IV'!CG16)</f>
        <v>0.4999999999999999</v>
      </c>
      <c r="CJ16" s="31">
        <f>MIN('Strength 1a'!CH16,'Strength 1b'!CH16,'Strength IV'!CH16)</f>
        <v>0.5000000000000001</v>
      </c>
      <c r="CK16" s="31">
        <f>MIN('Strength 1a'!CI16,'Strength 1b'!CI16,'Strength IV'!CI16)</f>
        <v>1.5</v>
      </c>
      <c r="CL16" s="31">
        <f>MIN('Strength 1a'!CJ16,'Strength 1b'!CJ16,'Strength IV'!CJ16)</f>
        <v>0.3333333333333334</v>
      </c>
    </row>
    <row r="17" spans="1:90" ht="15.75">
      <c r="A17" s="45" t="s">
        <v>61</v>
      </c>
      <c r="B17" s="42">
        <v>7</v>
      </c>
      <c r="C17" s="32">
        <f t="shared" si="0"/>
        <v>22</v>
      </c>
      <c r="D17" s="185">
        <v>20</v>
      </c>
      <c r="E17" s="186">
        <v>2</v>
      </c>
      <c r="F17" s="187">
        <v>16</v>
      </c>
      <c r="G17" s="194" t="str">
        <f t="shared" si="7"/>
        <v>OK</v>
      </c>
      <c r="H17" s="33">
        <f>MIN('Strength 1a'!G17,'Strength 1b'!G17,'Strength IV'!G17)</f>
        <v>2.301698301698302</v>
      </c>
      <c r="I17" s="33">
        <f>MAX('Strength 1a'!H17,'Strength 1b'!H17,'Strength IV'!H17)</f>
        <v>0.8689236111111109</v>
      </c>
      <c r="J17" s="33">
        <f>MIN('Strength 1a'!I17,'Strength 1b'!I17,'Strength IV'!I17)</f>
        <v>1.3409425606984857</v>
      </c>
      <c r="K17" s="33">
        <f>MIN('Strength 1a'!J17,'Strength 1b'!J17,'Strength IV'!J17)</f>
        <v>1.178745990258467</v>
      </c>
      <c r="L17" s="185">
        <v>0</v>
      </c>
      <c r="M17" s="185">
        <v>200</v>
      </c>
      <c r="N17" s="188">
        <f t="shared" si="1"/>
        <v>0</v>
      </c>
      <c r="O17" s="188">
        <f t="shared" si="2"/>
        <v>1</v>
      </c>
      <c r="P17" s="185">
        <v>0</v>
      </c>
      <c r="Q17" s="185">
        <v>105</v>
      </c>
      <c r="R17" s="185">
        <v>105</v>
      </c>
      <c r="S17" s="185">
        <v>30</v>
      </c>
      <c r="T17" s="185">
        <f t="shared" si="8"/>
        <v>0</v>
      </c>
      <c r="U17" s="185">
        <v>105</v>
      </c>
      <c r="V17" s="185">
        <v>30</v>
      </c>
      <c r="W17" s="185">
        <v>0</v>
      </c>
      <c r="X17" s="185">
        <v>30</v>
      </c>
      <c r="Y17" s="189">
        <v>90</v>
      </c>
      <c r="Z17" s="190" t="s">
        <v>82</v>
      </c>
      <c r="AA17" s="191">
        <v>250</v>
      </c>
      <c r="AB17" s="191">
        <v>250</v>
      </c>
      <c r="AC17" s="47" t="s">
        <v>61</v>
      </c>
      <c r="AD17" s="49">
        <f t="shared" si="3"/>
        <v>0.5</v>
      </c>
      <c r="AG17" s="104" t="s">
        <v>44</v>
      </c>
      <c r="AH17" s="26">
        <f>MAX('Strength 1a'!AG17,'Strength 1b'!AG17,'Strength IV'!AG17)</f>
        <v>4954.2272152667165</v>
      </c>
      <c r="AI17" s="44">
        <f>MIN('Strength 1a'!AH17,'Strength 1b'!AH17,'Strength IV'!AH17)</f>
        <v>5409.989377061842</v>
      </c>
      <c r="AJ17" s="26">
        <f>MIN('Strength 1a'!AI17,'Strength 1b'!AI17,'Strength IV'!AI17)</f>
        <v>0</v>
      </c>
      <c r="AK17" s="30">
        <f>MIN('Strength 1a'!AJ17,'Strength 1b'!AJ17,'Strength IV'!AJ17)</f>
        <v>0</v>
      </c>
      <c r="AL17" s="26">
        <f>MIN('Strength 1a'!AK17,'Strength 1b'!AK17,'Strength IV'!AK17)</f>
        <v>36960</v>
      </c>
      <c r="AM17" s="26">
        <f>MIN('Strength 1a'!AL17,'Strength 1b'!AL17,'Strength IV'!AL17)</f>
        <v>0</v>
      </c>
      <c r="AN17" s="26">
        <f>MIN('Strength 1a'!AM17,'Strength 1b'!AM17,'Strength IV'!AM17)</f>
        <v>0</v>
      </c>
      <c r="AO17" s="26">
        <f>MIN('Strength 1a'!AN17,'Strength 1b'!AN17)</f>
        <v>7000</v>
      </c>
      <c r="AP17" s="29">
        <f>MIN('Strength 1a'!AO17,'Strength 1b'!AO17,'Strength IV'!AO17)</f>
        <v>0</v>
      </c>
      <c r="AQ17" s="26">
        <f>MIN('Strength 1a'!AP17,'Strength 1b'!AP17,'Strength IV'!AP17)</f>
        <v>8470</v>
      </c>
      <c r="AR17" s="26">
        <f>MIN('Strength 1a'!AQ17,'Strength 1b'!AQ17,'Strength IV'!AQ17)</f>
        <v>0</v>
      </c>
      <c r="AS17" s="26">
        <f>MIN('Strength 1a'!AR17,'Strength 1b'!AR17,'Strength IV'!AR17)</f>
        <v>0</v>
      </c>
      <c r="AT17" s="26">
        <f>MIN('Strength 1a'!AS17,'Strength 1b'!AS17)</f>
        <v>1833.3333333333333</v>
      </c>
      <c r="AU17" s="26">
        <f>MIN('Strength 1a'!AT17,'Strength 1b'!AT17)</f>
        <v>0</v>
      </c>
      <c r="AV17" s="26">
        <f>MIN('Strength 1a'!AU17,'Strength 1b'!AU17)</f>
        <v>0</v>
      </c>
      <c r="AW17" s="26">
        <f>MIN('Strength 1a'!AV17,'Strength 1b'!AV17,'Strength IV'!AV17)</f>
        <v>12705</v>
      </c>
      <c r="AX17" s="26">
        <f>MIN('Strength 1a'!AW17,'Strength 1b'!AW17,'Strength IV'!AW17)</f>
        <v>21338.865949248568</v>
      </c>
      <c r="AY17" s="26">
        <f>MIN('Strength 1a'!AX17,'Strength 1b'!AX17,'Strength IV'!AX17)</f>
        <v>36960</v>
      </c>
      <c r="AZ17" s="26">
        <f>'Strength 1b'!AY17</f>
        <v>56896</v>
      </c>
      <c r="BA17" s="26">
        <f>MIN('Strength 1a'!AZ17,'Strength 1b'!AZ17,'Strength IV'!AZ17)</f>
        <v>295680</v>
      </c>
      <c r="BB17" s="26">
        <f>'Strength 1b'!BA17</f>
        <v>455168</v>
      </c>
      <c r="BC17" s="26">
        <f>MAX('Strength 1a'!BB17,'Strength 1b'!BB17,'Strength IV'!BB17)</f>
        <v>128461.66666666666</v>
      </c>
      <c r="BD17" s="26">
        <f>'Strength 1b'!BB17</f>
        <v>128461.66666666666</v>
      </c>
      <c r="BE17" s="30">
        <f>MAX('Strength 1a'!BC17,'Strength 1b'!BC17,'Strength IV'!BC17)</f>
        <v>3.4756944444444438</v>
      </c>
      <c r="BF17" s="30">
        <f>'Strength 1b'!BD17</f>
        <v>2.257833005249343</v>
      </c>
      <c r="BG17" s="30">
        <f>'Strength 1b'!BE17</f>
        <v>11.484333989501314</v>
      </c>
      <c r="BH17" s="30">
        <f>MIN('Strength 1a'!BF17,'Strength 1b'!BF17,'Strength IV'!BF17)</f>
        <v>4</v>
      </c>
      <c r="BI17" s="30">
        <f>MIN('Strength 1a'!BG17,'Strength 1b'!BG17,'Strength IV'!BG17)</f>
        <v>30.139627791519086</v>
      </c>
      <c r="BJ17" s="30">
        <f>MIN('Strength 1a'!BH17,'Strength 1b'!BH17,'Strength IV'!BH17)</f>
        <v>18.401122218708668</v>
      </c>
      <c r="BK17" s="30">
        <f>MIN('Strength 1a'!BI17,'Strength 1b'!BI17,'Strength IV'!BI17)</f>
        <v>22.402486271104557</v>
      </c>
      <c r="BL17" s="29">
        <f>MIN('Strength 1a'!BJ17,'Strength 1b'!BJ17,'Strength IV'!BJ17)</f>
        <v>0</v>
      </c>
      <c r="BM17" s="31">
        <f>MIN('Strength 1a'!BK17,'Strength 1b'!BK17,'Strength IV'!BK17)</f>
        <v>0.3333333333333333</v>
      </c>
      <c r="BN17" s="29">
        <f>MIN('Strength 1a'!BL17,'Strength 1b'!BL17,'Strength IV'!BL17)</f>
        <v>0</v>
      </c>
      <c r="BO17" s="31">
        <f>MIN('Strength 1a'!BM17,'Strength 1b'!BM17,'Strength IV'!BM17)</f>
        <v>0</v>
      </c>
      <c r="BP17" s="29">
        <f>MIN('Strength 1a'!BN17,'Strength 1b'!BN17,'Strength IV'!BN17)</f>
        <v>0</v>
      </c>
      <c r="BQ17" s="31">
        <f>MIN('Strength 1a'!BO17,'Strength 1b'!BO17,'Strength IV'!BO17)</f>
        <v>0</v>
      </c>
      <c r="BR17" s="192">
        <f t="shared" si="4"/>
        <v>0.017453292519943295</v>
      </c>
      <c r="BS17" s="192">
        <f t="shared" si="5"/>
        <v>0.5773502691896257</v>
      </c>
      <c r="BT17" s="192">
        <f t="shared" si="6"/>
        <v>0</v>
      </c>
      <c r="BU17" s="3" t="s">
        <v>1</v>
      </c>
      <c r="BV17" s="193">
        <f t="shared" si="9"/>
        <v>5</v>
      </c>
      <c r="BW17" s="30">
        <f>MIN('Strength 1a'!BU17,'Strength 1b'!BU17,'Strength IV'!BU17)</f>
        <v>0</v>
      </c>
      <c r="BX17" s="31">
        <f>MIN('Strength 1a'!BV17,'Strength 1b'!BV17,'Strength IV'!BV17)</f>
        <v>0</v>
      </c>
      <c r="BY17" s="31">
        <f>MIN('Strength 1a'!BW17,'Strength 1b'!BW17,'Strength IV'!BW17)</f>
        <v>1</v>
      </c>
      <c r="BZ17" s="31">
        <f>MIN('Strength 1a'!BX17,'Strength 1b'!BX17,'Strength IV'!BX17)</f>
        <v>1</v>
      </c>
      <c r="CA17" s="31">
        <f>MIN('Strength 1a'!BY17,'Strength 1b'!BY17,'Strength IV'!BY17)</f>
        <v>0.7500000000000001</v>
      </c>
      <c r="CB17" s="31">
        <f>MIN('Strength 1a'!BZ17,'Strength 1b'!BZ17,'Strength IV'!BZ17)</f>
        <v>1</v>
      </c>
      <c r="CC17" s="31">
        <f>MIN('Strength 1a'!CA17,'Strength 1b'!CA17,'Strength IV'!CA17)</f>
        <v>1</v>
      </c>
      <c r="CD17" s="31">
        <f>MIN('Strength 1a'!CB17,'Strength 1b'!CB17,'Strength IV'!CB17)</f>
        <v>0</v>
      </c>
      <c r="CE17" s="31">
        <f>MIN('Strength 1a'!CC17,'Strength 1b'!CC17,'Strength IV'!CC17)</f>
        <v>0.4999999999999999</v>
      </c>
      <c r="CF17" s="31">
        <f>MIN('Strength 1a'!CD17,'Strength 1b'!CD17,'Strength IV'!CD17)</f>
        <v>0.5000000000000001</v>
      </c>
      <c r="CG17" s="31">
        <f>MIN('Strength 1a'!CE17,'Strength 1b'!CE17,'Strength IV'!CE17)</f>
        <v>1.5</v>
      </c>
      <c r="CH17" s="31">
        <f>MIN('Strength 1a'!CF17,'Strength 1b'!CF17,'Strength IV'!CF17)</f>
        <v>0.3333333333333334</v>
      </c>
      <c r="CI17" s="31">
        <f>MIN('Strength 1a'!CG17,'Strength 1b'!CG17,'Strength IV'!CG17)</f>
        <v>0.4999999999999999</v>
      </c>
      <c r="CJ17" s="31">
        <f>MIN('Strength 1a'!CH17,'Strength 1b'!CH17,'Strength IV'!CH17)</f>
        <v>0.5000000000000001</v>
      </c>
      <c r="CK17" s="31">
        <f>MIN('Strength 1a'!CI17,'Strength 1b'!CI17,'Strength IV'!CI17)</f>
        <v>1.5</v>
      </c>
      <c r="CL17" s="31">
        <f>MIN('Strength 1a'!CJ17,'Strength 1b'!CJ17,'Strength IV'!CJ17)</f>
        <v>0.3333333333333334</v>
      </c>
    </row>
    <row r="18" spans="1:90" ht="15.75">
      <c r="A18" s="45" t="s">
        <v>61</v>
      </c>
      <c r="B18" s="42">
        <v>8</v>
      </c>
      <c r="C18" s="32">
        <f t="shared" si="0"/>
        <v>24</v>
      </c>
      <c r="D18" s="185">
        <v>22</v>
      </c>
      <c r="E18" s="186">
        <v>2</v>
      </c>
      <c r="F18" s="187">
        <v>17</v>
      </c>
      <c r="G18" s="194" t="str">
        <f t="shared" si="7"/>
        <v>OK</v>
      </c>
      <c r="H18" s="33">
        <f>MIN('Strength 1a'!G18,'Strength 1b'!G18,'Strength IV'!G18)</f>
        <v>2.234536082474227</v>
      </c>
      <c r="I18" s="33">
        <f>MAX('Strength 1a'!H18,'Strength 1b'!H18,'Strength IV'!H18)</f>
        <v>0.8950403690888119</v>
      </c>
      <c r="J18" s="33">
        <f>MIN('Strength 1a'!I18,'Strength 1b'!I18,'Strength IV'!I18)</f>
        <v>1.3283397170828983</v>
      </c>
      <c r="K18" s="33">
        <f>MIN('Strength 1a'!J18,'Strength 1b'!J18,'Strength IV'!J18)</f>
        <v>1.1053065196270393</v>
      </c>
      <c r="L18" s="185">
        <v>0</v>
      </c>
      <c r="M18" s="185">
        <v>200</v>
      </c>
      <c r="N18" s="188">
        <f t="shared" si="1"/>
        <v>0</v>
      </c>
      <c r="O18" s="188">
        <f t="shared" si="2"/>
        <v>1</v>
      </c>
      <c r="P18" s="185">
        <v>0</v>
      </c>
      <c r="Q18" s="185">
        <v>105</v>
      </c>
      <c r="R18" s="185">
        <v>105</v>
      </c>
      <c r="S18" s="185">
        <v>30</v>
      </c>
      <c r="T18" s="185">
        <f t="shared" si="8"/>
        <v>0</v>
      </c>
      <c r="U18" s="185">
        <v>105</v>
      </c>
      <c r="V18" s="185">
        <v>30</v>
      </c>
      <c r="W18" s="185">
        <v>0</v>
      </c>
      <c r="X18" s="185">
        <v>30</v>
      </c>
      <c r="Y18" s="189">
        <v>90</v>
      </c>
      <c r="Z18" s="190" t="s">
        <v>82</v>
      </c>
      <c r="AA18" s="191">
        <v>250</v>
      </c>
      <c r="AB18" s="191">
        <v>250</v>
      </c>
      <c r="AC18" s="47" t="s">
        <v>61</v>
      </c>
      <c r="AD18" s="49">
        <f t="shared" si="3"/>
        <v>0.5</v>
      </c>
      <c r="AG18" s="104" t="s">
        <v>41</v>
      </c>
      <c r="AH18" s="26">
        <f>MAX('Strength 1a'!AG18,'Strength 1b'!AG18,'Strength IV'!AG18)</f>
        <v>5436.255168301976</v>
      </c>
      <c r="AI18" s="44">
        <f>MIN('Strength 1a'!AH18,'Strength 1b'!AH18,'Strength IV'!AH18)</f>
        <v>5527.091696143949</v>
      </c>
      <c r="AJ18" s="26">
        <f>MIN('Strength 1a'!AI18,'Strength 1b'!AI18,'Strength IV'!AI18)</f>
        <v>0</v>
      </c>
      <c r="AK18" s="30">
        <f>MIN('Strength 1a'!AJ18,'Strength 1b'!AJ18,'Strength IV'!AJ18)</f>
        <v>0</v>
      </c>
      <c r="AL18" s="26">
        <f>MIN('Strength 1a'!AK18,'Strength 1b'!AK18,'Strength IV'!AK18)</f>
        <v>42840</v>
      </c>
      <c r="AM18" s="26">
        <f>MIN('Strength 1a'!AL18,'Strength 1b'!AL18,'Strength IV'!AL18)</f>
        <v>0</v>
      </c>
      <c r="AN18" s="26">
        <f>MIN('Strength 1a'!AM18,'Strength 1b'!AM18,'Strength IV'!AM18)</f>
        <v>0</v>
      </c>
      <c r="AO18" s="26">
        <f>MIN('Strength 1a'!AN18,'Strength 1b'!AN18)</f>
        <v>7437.5</v>
      </c>
      <c r="AP18" s="29">
        <f>MIN('Strength 1a'!AO18,'Strength 1b'!AO18,'Strength IV'!AO18)</f>
        <v>0</v>
      </c>
      <c r="AQ18" s="26">
        <f>MIN('Strength 1a'!AP18,'Strength 1b'!AP18,'Strength IV'!AP18)</f>
        <v>10080</v>
      </c>
      <c r="AR18" s="26">
        <f>MIN('Strength 1a'!AQ18,'Strength 1b'!AQ18,'Strength IV'!AQ18)</f>
        <v>0</v>
      </c>
      <c r="AS18" s="26">
        <f>MIN('Strength 1a'!AR18,'Strength 1b'!AR18,'Strength IV'!AR18)</f>
        <v>0</v>
      </c>
      <c r="AT18" s="26">
        <f>MIN('Strength 1a'!AS18,'Strength 1b'!AS18)</f>
        <v>2000</v>
      </c>
      <c r="AU18" s="26">
        <f>MIN('Strength 1a'!AT18,'Strength 1b'!AT18)</f>
        <v>0</v>
      </c>
      <c r="AV18" s="26">
        <f>MIN('Strength 1a'!AU18,'Strength 1b'!AU18)</f>
        <v>0</v>
      </c>
      <c r="AW18" s="26">
        <f>MIN('Strength 1a'!AV18,'Strength 1b'!AV18,'Strength IV'!AV18)</f>
        <v>15120</v>
      </c>
      <c r="AX18" s="26">
        <f>MIN('Strength 1a'!AW18,'Strength 1b'!AW18,'Strength IV'!AW18)</f>
        <v>24733.685532083568</v>
      </c>
      <c r="AY18" s="26">
        <f>MIN('Strength 1a'!AX18,'Strength 1b'!AX18,'Strength IV'!AX18)</f>
        <v>42840</v>
      </c>
      <c r="AZ18" s="26">
        <f>'Strength 1b'!AY18</f>
        <v>65271.50000000001</v>
      </c>
      <c r="BA18" s="26">
        <f>MIN('Strength 1a'!AZ18,'Strength 1b'!AZ18,'Strength IV'!AZ18)</f>
        <v>364140</v>
      </c>
      <c r="BB18" s="26">
        <f>'Strength 1b'!BA18</f>
        <v>554807.75</v>
      </c>
      <c r="BC18" s="26">
        <f>MAX('Strength 1a'!BB18,'Strength 1b'!BB18,'Strength IV'!BB18)</f>
        <v>162960</v>
      </c>
      <c r="BD18" s="26">
        <f>'Strength 1b'!BB18</f>
        <v>162960</v>
      </c>
      <c r="BE18" s="30">
        <f>MAX('Strength 1a'!BC18,'Strength 1b'!BC18,'Strength IV'!BC18)</f>
        <v>3.803921568627451</v>
      </c>
      <c r="BF18" s="30">
        <f>'Strength 1b'!BD18</f>
        <v>2.4966486138666957</v>
      </c>
      <c r="BG18" s="30">
        <f>'Strength 1b'!BE18</f>
        <v>12.006702772266609</v>
      </c>
      <c r="BH18" s="30">
        <f>MIN('Strength 1a'!BF18,'Strength 1b'!BF18,'Strength IV'!BF18)</f>
        <v>4.25</v>
      </c>
      <c r="BI18" s="30">
        <f>MIN('Strength 1a'!BG18,'Strength 1b'!BG18,'Strength IV'!BG18)</f>
        <v>30.139627791519086</v>
      </c>
      <c r="BJ18" s="30">
        <f>MIN('Strength 1a'!BH18,'Strength 1b'!BH18,'Strength IV'!BH18)</f>
        <v>18.401122218708668</v>
      </c>
      <c r="BK18" s="30">
        <f>MIN('Strength 1a'!BI18,'Strength 1b'!BI18,'Strength IV'!BI18)</f>
        <v>22.402486271104557</v>
      </c>
      <c r="BL18" s="29">
        <f>MIN('Strength 1a'!BJ18,'Strength 1b'!BJ18,'Strength IV'!BJ18)</f>
        <v>0</v>
      </c>
      <c r="BM18" s="31">
        <f>MIN('Strength 1a'!BK18,'Strength 1b'!BK18,'Strength IV'!BK18)</f>
        <v>0.3333333333333333</v>
      </c>
      <c r="BN18" s="29">
        <f>MIN('Strength 1a'!BL18,'Strength 1b'!BL18,'Strength IV'!BL18)</f>
        <v>0</v>
      </c>
      <c r="BO18" s="31">
        <f>MIN('Strength 1a'!BM18,'Strength 1b'!BM18,'Strength IV'!BM18)</f>
        <v>0</v>
      </c>
      <c r="BP18" s="29">
        <f>MIN('Strength 1a'!BN18,'Strength 1b'!BN18,'Strength IV'!BN18)</f>
        <v>0</v>
      </c>
      <c r="BQ18" s="31">
        <f>MIN('Strength 1a'!BO18,'Strength 1b'!BO18,'Strength IV'!BO18)</f>
        <v>0</v>
      </c>
      <c r="BR18" s="235">
        <f t="shared" si="4"/>
        <v>0.017453292519943295</v>
      </c>
      <c r="BS18" s="235">
        <f t="shared" si="5"/>
        <v>0.5773502691896257</v>
      </c>
      <c r="BT18" s="235">
        <f t="shared" si="6"/>
        <v>0</v>
      </c>
      <c r="BU18" s="204" t="s">
        <v>1</v>
      </c>
      <c r="BV18" s="193">
        <f t="shared" si="9"/>
        <v>6</v>
      </c>
      <c r="BW18" s="30">
        <f>MIN('Strength 1a'!BU18,'Strength 1b'!BU18,'Strength IV'!BU18)</f>
        <v>0</v>
      </c>
      <c r="BX18" s="31">
        <f>MIN('Strength 1a'!BV18,'Strength 1b'!BV18,'Strength IV'!BV18)</f>
        <v>0</v>
      </c>
      <c r="BY18" s="31">
        <f>MIN('Strength 1a'!BW18,'Strength 1b'!BW18,'Strength IV'!BW18)</f>
        <v>1</v>
      </c>
      <c r="BZ18" s="31">
        <f>MIN('Strength 1a'!BX18,'Strength 1b'!BX18,'Strength IV'!BX18)</f>
        <v>1</v>
      </c>
      <c r="CA18" s="31">
        <f>MIN('Strength 1a'!BY18,'Strength 1b'!BY18,'Strength IV'!BY18)</f>
        <v>0.7500000000000001</v>
      </c>
      <c r="CB18" s="31">
        <f>MIN('Strength 1a'!BZ18,'Strength 1b'!BZ18,'Strength IV'!BZ18)</f>
        <v>1</v>
      </c>
      <c r="CC18" s="31">
        <f>MIN('Strength 1a'!CA18,'Strength 1b'!CA18,'Strength IV'!CA18)</f>
        <v>1</v>
      </c>
      <c r="CD18" s="31">
        <f>MIN('Strength 1a'!CB18,'Strength 1b'!CB18,'Strength IV'!CB18)</f>
        <v>0</v>
      </c>
      <c r="CE18" s="31">
        <f>MIN('Strength 1a'!CC18,'Strength 1b'!CC18,'Strength IV'!CC18)</f>
        <v>0.4999999999999999</v>
      </c>
      <c r="CF18" s="31">
        <f>MIN('Strength 1a'!CD18,'Strength 1b'!CD18,'Strength IV'!CD18)</f>
        <v>0.5000000000000001</v>
      </c>
      <c r="CG18" s="31">
        <f>MIN('Strength 1a'!CE18,'Strength 1b'!CE18,'Strength IV'!CE18)</f>
        <v>1.5</v>
      </c>
      <c r="CH18" s="31">
        <f>MIN('Strength 1a'!CF18,'Strength 1b'!CF18,'Strength IV'!CF18)</f>
        <v>0.3333333333333334</v>
      </c>
      <c r="CI18" s="31">
        <f>MIN('Strength 1a'!CG18,'Strength 1b'!CG18,'Strength IV'!CG18)</f>
        <v>0.4999999999999999</v>
      </c>
      <c r="CJ18" s="31">
        <f>MIN('Strength 1a'!CH18,'Strength 1b'!CH18,'Strength IV'!CH18)</f>
        <v>0.5000000000000001</v>
      </c>
      <c r="CK18" s="31">
        <f>MIN('Strength 1a'!CI18,'Strength 1b'!CI18,'Strength IV'!CI18)</f>
        <v>1.5</v>
      </c>
      <c r="CL18" s="31">
        <f>MIN('Strength 1a'!CJ18,'Strength 1b'!CJ18,'Strength IV'!CJ18)</f>
        <v>0.3333333333333334</v>
      </c>
    </row>
    <row r="19" spans="1:90" ht="15.75">
      <c r="A19" s="45" t="s">
        <v>61</v>
      </c>
      <c r="B19" s="42">
        <v>9</v>
      </c>
      <c r="C19" s="32">
        <f t="shared" si="0"/>
        <v>26</v>
      </c>
      <c r="D19" s="185">
        <v>24</v>
      </c>
      <c r="E19" s="186">
        <v>2</v>
      </c>
      <c r="F19" s="187">
        <v>19</v>
      </c>
      <c r="G19" s="194" t="str">
        <f t="shared" si="7"/>
        <v>OK</v>
      </c>
      <c r="H19" s="33">
        <f>MIN('Strength 1a'!G19,'Strength 1b'!G19,'Strength IV'!G19)</f>
        <v>2.426437640029873</v>
      </c>
      <c r="I19" s="33">
        <f>MAX('Strength 1a'!H19,'Strength 1b'!H19,'Strength IV'!H19)</f>
        <v>0.8242536164973837</v>
      </c>
      <c r="J19" s="33">
        <f>MIN('Strength 1a'!I19,'Strength 1b'!I19,'Strength IV'!I19)</f>
        <v>1.3905196624144507</v>
      </c>
      <c r="K19" s="33">
        <f>MIN('Strength 1a'!J19,'Strength 1b'!J19,'Strength IV'!J19)</f>
        <v>1.1628287323750648</v>
      </c>
      <c r="L19" s="185">
        <v>0</v>
      </c>
      <c r="M19" s="185">
        <v>200</v>
      </c>
      <c r="N19" s="188">
        <f t="shared" si="1"/>
        <v>0</v>
      </c>
      <c r="O19" s="188">
        <f t="shared" si="2"/>
        <v>1</v>
      </c>
      <c r="P19" s="185">
        <v>0</v>
      </c>
      <c r="Q19" s="185">
        <v>105</v>
      </c>
      <c r="R19" s="185">
        <v>105</v>
      </c>
      <c r="S19" s="185">
        <v>30</v>
      </c>
      <c r="T19" s="185">
        <f t="shared" si="8"/>
        <v>0</v>
      </c>
      <c r="U19" s="185">
        <v>105</v>
      </c>
      <c r="V19" s="185">
        <v>30</v>
      </c>
      <c r="W19" s="185">
        <v>0</v>
      </c>
      <c r="X19" s="185">
        <v>30</v>
      </c>
      <c r="Y19" s="189">
        <v>90</v>
      </c>
      <c r="Z19" s="190" t="s">
        <v>82</v>
      </c>
      <c r="AA19" s="191">
        <v>250</v>
      </c>
      <c r="AB19" s="191">
        <v>250</v>
      </c>
      <c r="AC19" s="47" t="s">
        <v>61</v>
      </c>
      <c r="AD19" s="49">
        <f t="shared" si="3"/>
        <v>0.5</v>
      </c>
      <c r="AG19" s="104" t="s">
        <v>45</v>
      </c>
      <c r="AH19" s="26">
        <f>MAX('Strength 1a'!AG19,'Strength 1b'!AG19,'Strength IV'!AG19)</f>
        <v>5670.357276684555</v>
      </c>
      <c r="AI19" s="44">
        <f>MIN('Strength 1a'!AH19,'Strength 1b'!AH19,'Strength IV'!AH19)</f>
        <v>6087.787696774665</v>
      </c>
      <c r="AJ19" s="26">
        <f>MIN('Strength 1a'!AI19,'Strength 1b'!AI19,'Strength IV'!AI19)</f>
        <v>0</v>
      </c>
      <c r="AK19" s="30">
        <f>MIN('Strength 1a'!AJ19,'Strength 1b'!AJ19,'Strength IV'!AJ19)</f>
        <v>0</v>
      </c>
      <c r="AL19" s="26">
        <f>MIN('Strength 1a'!AK19,'Strength 1b'!AK19,'Strength IV'!AK19)</f>
        <v>51870</v>
      </c>
      <c r="AM19" s="26">
        <f>MIN('Strength 1a'!AL19,'Strength 1b'!AL19,'Strength IV'!AL19)</f>
        <v>0</v>
      </c>
      <c r="AN19" s="26">
        <f>MIN('Strength 1a'!AM19,'Strength 1b'!AM19,'Strength IV'!AM19)</f>
        <v>0</v>
      </c>
      <c r="AO19" s="26">
        <f>MIN('Strength 1a'!AN19,'Strength 1b'!AN19)</f>
        <v>8312.5</v>
      </c>
      <c r="AP19" s="29">
        <f>MIN('Strength 1a'!AO19,'Strength 1b'!AO19,'Strength IV'!AO19)</f>
        <v>0</v>
      </c>
      <c r="AQ19" s="26">
        <f>MIN('Strength 1a'!AP19,'Strength 1b'!AP19,'Strength IV'!AP19)</f>
        <v>11830</v>
      </c>
      <c r="AR19" s="26">
        <f>MIN('Strength 1a'!AQ19,'Strength 1b'!AQ19,'Strength IV'!AQ19)</f>
        <v>0</v>
      </c>
      <c r="AS19" s="26">
        <f>MIN('Strength 1a'!AR19,'Strength 1b'!AR19,'Strength IV'!AR19)</f>
        <v>0</v>
      </c>
      <c r="AT19" s="26">
        <f>MIN('Strength 1a'!AS19,'Strength 1b'!AS19)</f>
        <v>2166.6666666666665</v>
      </c>
      <c r="AU19" s="26">
        <f>MIN('Strength 1a'!AT19,'Strength 1b'!AT19)</f>
        <v>0</v>
      </c>
      <c r="AV19" s="26">
        <f>MIN('Strength 1a'!AU19,'Strength 1b'!AU19)</f>
        <v>0</v>
      </c>
      <c r="AW19" s="26">
        <f>MIN('Strength 1a'!AV19,'Strength 1b'!AV19,'Strength IV'!AV19)</f>
        <v>17745</v>
      </c>
      <c r="AX19" s="26">
        <f>MIN('Strength 1a'!AW19,'Strength 1b'!AW19,'Strength IV'!AW19)</f>
        <v>29947.158462865886</v>
      </c>
      <c r="AY19" s="26">
        <f>MIN('Strength 1a'!AX19,'Strength 1b'!AX19,'Strength IV'!AX19)</f>
        <v>51870</v>
      </c>
      <c r="AZ19" s="26">
        <f>'Strength 1b'!AY19</f>
        <v>78337</v>
      </c>
      <c r="BA19" s="26">
        <f>MIN('Strength 1a'!AZ19,'Strength 1b'!AZ19,'Strength IV'!AZ19)</f>
        <v>492765</v>
      </c>
      <c r="BB19" s="26">
        <f>'Strength 1b'!BA19</f>
        <v>744201.5</v>
      </c>
      <c r="BC19" s="26">
        <f>MAX('Strength 1a'!BB19,'Strength 1b'!BB19,'Strength IV'!BB19)</f>
        <v>203081.66666666666</v>
      </c>
      <c r="BD19" s="26">
        <f>'Strength 1b'!BB19</f>
        <v>203081.66666666666</v>
      </c>
      <c r="BE19" s="30">
        <f>MAX('Strength 1a'!BC19,'Strength 1b'!BC19,'Strength IV'!BC19)</f>
        <v>3.9152046783625725</v>
      </c>
      <c r="BF19" s="30">
        <f>'Strength 1b'!BD19</f>
        <v>2.592410568015965</v>
      </c>
      <c r="BG19" s="30">
        <f>'Strength 1b'!BE19</f>
        <v>13.81517886396807</v>
      </c>
      <c r="BH19" s="30">
        <f>MIN('Strength 1a'!BF19,'Strength 1b'!BF19,'Strength IV'!BF19)</f>
        <v>4.75</v>
      </c>
      <c r="BI19" s="30">
        <f>MIN('Strength 1a'!BG19,'Strength 1b'!BG19,'Strength IV'!BG19)</f>
        <v>30.139627791519086</v>
      </c>
      <c r="BJ19" s="30">
        <f>MIN('Strength 1a'!BH19,'Strength 1b'!BH19,'Strength IV'!BH19)</f>
        <v>18.401122218708668</v>
      </c>
      <c r="BK19" s="30">
        <f>MIN('Strength 1a'!BI19,'Strength 1b'!BI19,'Strength IV'!BI19)</f>
        <v>22.402486271104557</v>
      </c>
      <c r="BL19" s="29">
        <f>MIN('Strength 1a'!BJ19,'Strength 1b'!BJ19,'Strength IV'!BJ19)</f>
        <v>0</v>
      </c>
      <c r="BM19" s="31">
        <f>MIN('Strength 1a'!BK19,'Strength 1b'!BK19,'Strength IV'!BK19)</f>
        <v>0.3333333333333333</v>
      </c>
      <c r="BN19" s="29">
        <f>MIN('Strength 1a'!BL19,'Strength 1b'!BL19,'Strength IV'!BL19)</f>
        <v>0</v>
      </c>
      <c r="BO19" s="31">
        <f>MIN('Strength 1a'!BM19,'Strength 1b'!BM19,'Strength IV'!BM19)</f>
        <v>0</v>
      </c>
      <c r="BP19" s="29">
        <f>MIN('Strength 1a'!BN19,'Strength 1b'!BN19,'Strength IV'!BN19)</f>
        <v>0</v>
      </c>
      <c r="BQ19" s="31">
        <f>MIN('Strength 1a'!BO19,'Strength 1b'!BO19,'Strength IV'!BO19)</f>
        <v>0</v>
      </c>
      <c r="BR19" s="192">
        <f t="shared" si="4"/>
        <v>0.017453292519943295</v>
      </c>
      <c r="BS19" s="192">
        <f t="shared" si="5"/>
        <v>0.5773502691896257</v>
      </c>
      <c r="BT19" s="192">
        <f t="shared" si="6"/>
        <v>0</v>
      </c>
      <c r="BU19" s="3" t="s">
        <v>1</v>
      </c>
      <c r="BV19" s="193">
        <f t="shared" si="9"/>
        <v>7</v>
      </c>
      <c r="BW19" s="30">
        <f>MIN('Strength 1a'!BU19,'Strength 1b'!BU19,'Strength IV'!BU19)</f>
        <v>0</v>
      </c>
      <c r="BX19" s="31">
        <f>MIN('Strength 1a'!BV19,'Strength 1b'!BV19,'Strength IV'!BV19)</f>
        <v>0</v>
      </c>
      <c r="BY19" s="31">
        <f>MIN('Strength 1a'!BW19,'Strength 1b'!BW19,'Strength IV'!BW19)</f>
        <v>1</v>
      </c>
      <c r="BZ19" s="31">
        <f>MIN('Strength 1a'!BX19,'Strength 1b'!BX19,'Strength IV'!BX19)</f>
        <v>1</v>
      </c>
      <c r="CA19" s="31">
        <f>MIN('Strength 1a'!BY19,'Strength 1b'!BY19,'Strength IV'!BY19)</f>
        <v>0.7500000000000001</v>
      </c>
      <c r="CB19" s="31">
        <f>MIN('Strength 1a'!BZ19,'Strength 1b'!BZ19,'Strength IV'!BZ19)</f>
        <v>1</v>
      </c>
      <c r="CC19" s="31">
        <f>MIN('Strength 1a'!CA19,'Strength 1b'!CA19,'Strength IV'!CA19)</f>
        <v>1</v>
      </c>
      <c r="CD19" s="31">
        <f>MIN('Strength 1a'!CB19,'Strength 1b'!CB19,'Strength IV'!CB19)</f>
        <v>0</v>
      </c>
      <c r="CE19" s="31">
        <f>MIN('Strength 1a'!CC19,'Strength 1b'!CC19,'Strength IV'!CC19)</f>
        <v>0.4999999999999999</v>
      </c>
      <c r="CF19" s="31">
        <f>MIN('Strength 1a'!CD19,'Strength 1b'!CD19,'Strength IV'!CD19)</f>
        <v>0.5000000000000001</v>
      </c>
      <c r="CG19" s="31">
        <f>MIN('Strength 1a'!CE19,'Strength 1b'!CE19,'Strength IV'!CE19)</f>
        <v>1.5</v>
      </c>
      <c r="CH19" s="31">
        <f>MIN('Strength 1a'!CF19,'Strength 1b'!CF19,'Strength IV'!CF19)</f>
        <v>0.3333333333333334</v>
      </c>
      <c r="CI19" s="31">
        <f>MIN('Strength 1a'!CG19,'Strength 1b'!CG19,'Strength IV'!CG19)</f>
        <v>0.4999999999999999</v>
      </c>
      <c r="CJ19" s="31">
        <f>MIN('Strength 1a'!CH19,'Strength 1b'!CH19,'Strength IV'!CH19)</f>
        <v>0.5000000000000001</v>
      </c>
      <c r="CK19" s="31">
        <f>MIN('Strength 1a'!CI19,'Strength 1b'!CI19,'Strength IV'!CI19)</f>
        <v>1.5</v>
      </c>
      <c r="CL19" s="31">
        <f>MIN('Strength 1a'!CJ19,'Strength 1b'!CJ19,'Strength IV'!CJ19)</f>
        <v>0.3333333333333334</v>
      </c>
    </row>
    <row r="20" spans="1:90" ht="15.75">
      <c r="A20" s="45" t="s">
        <v>61</v>
      </c>
      <c r="B20" s="42">
        <v>10</v>
      </c>
      <c r="C20" s="32">
        <f t="shared" si="0"/>
        <v>28</v>
      </c>
      <c r="D20" s="185">
        <v>26</v>
      </c>
      <c r="E20" s="186">
        <v>2</v>
      </c>
      <c r="F20" s="187">
        <v>20</v>
      </c>
      <c r="G20" s="194" t="str">
        <f t="shared" si="7"/>
        <v>OK</v>
      </c>
      <c r="H20" s="33">
        <f>MIN('Strength 1a'!G20,'Strength 1b'!G20,'Strength IV'!G20)</f>
        <v>2.3591087811271296</v>
      </c>
      <c r="I20" s="33">
        <f>MAX('Strength 1a'!H20,'Strength 1b'!H20,'Strength IV'!H20)</f>
        <v>0.8477777777777776</v>
      </c>
      <c r="J20" s="33">
        <f>MIN('Strength 1a'!I20,'Strength 1b'!I20,'Strength IV'!I20)</f>
        <v>1.3764642179355315</v>
      </c>
      <c r="K20" s="33">
        <f>MIN('Strength 1a'!J20,'Strength 1b'!J20,'Strength IV'!J20)</f>
        <v>1.1009745072174346</v>
      </c>
      <c r="L20" s="185">
        <v>0</v>
      </c>
      <c r="M20" s="185">
        <v>200</v>
      </c>
      <c r="N20" s="188">
        <f t="shared" si="1"/>
        <v>0</v>
      </c>
      <c r="O20" s="188">
        <f t="shared" si="2"/>
        <v>1</v>
      </c>
      <c r="P20" s="185">
        <v>0</v>
      </c>
      <c r="Q20" s="185">
        <v>105</v>
      </c>
      <c r="R20" s="185">
        <v>105</v>
      </c>
      <c r="S20" s="185">
        <v>30</v>
      </c>
      <c r="T20" s="185">
        <f t="shared" si="8"/>
        <v>0</v>
      </c>
      <c r="U20" s="185">
        <v>105</v>
      </c>
      <c r="V20" s="185">
        <v>30</v>
      </c>
      <c r="W20" s="185">
        <v>0</v>
      </c>
      <c r="X20" s="185">
        <v>30</v>
      </c>
      <c r="Y20" s="189">
        <v>90</v>
      </c>
      <c r="Z20" s="190" t="s">
        <v>82</v>
      </c>
      <c r="AA20" s="191">
        <v>250</v>
      </c>
      <c r="AB20" s="191">
        <v>250</v>
      </c>
      <c r="AC20" s="47" t="s">
        <v>61</v>
      </c>
      <c r="AD20" s="49">
        <f t="shared" si="3"/>
        <v>0.5</v>
      </c>
      <c r="AG20" s="104" t="s">
        <v>41</v>
      </c>
      <c r="AH20" s="26">
        <f>MAX('Strength 1a'!AG20,'Strength 1b'!AG20,'Strength IV'!AG20)</f>
        <v>6144.178418487891</v>
      </c>
      <c r="AI20" s="44">
        <f>MIN('Strength 1a'!AH20,'Strength 1b'!AH20,'Strength IV'!AH20)</f>
        <v>6207.213512432022</v>
      </c>
      <c r="AJ20" s="26">
        <f>MIN('Strength 1a'!AI20,'Strength 1b'!AI20,'Strength IV'!AI20)</f>
        <v>0</v>
      </c>
      <c r="AK20" s="30">
        <f>MIN('Strength 1a'!AJ20,'Strength 1b'!AJ20,'Strength IV'!AJ20)</f>
        <v>0</v>
      </c>
      <c r="AL20" s="26">
        <f>MIN('Strength 1a'!AK20,'Strength 1b'!AK20,'Strength IV'!AK20)</f>
        <v>58800</v>
      </c>
      <c r="AM20" s="26">
        <f>MIN('Strength 1a'!AL20,'Strength 1b'!AL20,'Strength IV'!AL20)</f>
        <v>0</v>
      </c>
      <c r="AN20" s="26">
        <f>MIN('Strength 1a'!AM20,'Strength 1b'!AM20,'Strength IV'!AM20)</f>
        <v>0</v>
      </c>
      <c r="AO20" s="26">
        <f>MIN('Strength 1a'!AN20,'Strength 1b'!AN20)</f>
        <v>8750</v>
      </c>
      <c r="AP20" s="29">
        <f>MIN('Strength 1a'!AO20,'Strength 1b'!AO20,'Strength IV'!AO20)</f>
        <v>0</v>
      </c>
      <c r="AQ20" s="26">
        <f>MIN('Strength 1a'!AP20,'Strength 1b'!AP20,'Strength IV'!AP20)</f>
        <v>13720</v>
      </c>
      <c r="AR20" s="26">
        <f>MIN('Strength 1a'!AQ20,'Strength 1b'!AQ20,'Strength IV'!AQ20)</f>
        <v>0</v>
      </c>
      <c r="AS20" s="26">
        <f>MIN('Strength 1a'!AR20,'Strength 1b'!AR20,'Strength IV'!AR20)</f>
        <v>0</v>
      </c>
      <c r="AT20" s="26">
        <f>MIN('Strength 1a'!AS20,'Strength 1b'!AS20)</f>
        <v>2333.333333333333</v>
      </c>
      <c r="AU20" s="26">
        <f>MIN('Strength 1a'!AT20,'Strength 1b'!AT20)</f>
        <v>0</v>
      </c>
      <c r="AV20" s="26">
        <f>MIN('Strength 1a'!AU20,'Strength 1b'!AU20)</f>
        <v>0</v>
      </c>
      <c r="AW20" s="26">
        <f>MIN('Strength 1a'!AV20,'Strength 1b'!AV20,'Strength IV'!AV20)</f>
        <v>20580</v>
      </c>
      <c r="AX20" s="26">
        <f>MIN('Strength 1a'!AW20,'Strength 1b'!AW20,'Strength IV'!AW20)</f>
        <v>33948.19582834999</v>
      </c>
      <c r="AY20" s="26">
        <f>MIN('Strength 1a'!AX20,'Strength 1b'!AX20,'Strength IV'!AX20)</f>
        <v>58800</v>
      </c>
      <c r="AZ20" s="26">
        <f>'Strength 1b'!AY20</f>
        <v>88130</v>
      </c>
      <c r="BA20" s="26">
        <f>MIN('Strength 1a'!AZ20,'Strength 1b'!AZ20,'Strength IV'!AZ20)</f>
        <v>588000</v>
      </c>
      <c r="BB20" s="26">
        <f>'Strength 1b'!BA20</f>
        <v>881300</v>
      </c>
      <c r="BC20" s="26">
        <f>MAX('Strength 1a'!BB20,'Strength 1b'!BB20,'Strength IV'!BB20)</f>
        <v>249246.66666666666</v>
      </c>
      <c r="BD20" s="26">
        <f>'Strength 1b'!BB20</f>
        <v>249246.66666666666</v>
      </c>
      <c r="BE20" s="30">
        <f>MAX('Strength 1a'!BC20,'Strength 1b'!BC20,'Strength IV'!BC20)</f>
        <v>4.238888888888888</v>
      </c>
      <c r="BF20" s="30">
        <f>'Strength 1b'!BD20</f>
        <v>2.8281705056923476</v>
      </c>
      <c r="BG20" s="30">
        <f>'Strength 1b'!BE20</f>
        <v>14.343658988615305</v>
      </c>
      <c r="BH20" s="30">
        <f>MIN('Strength 1a'!BF20,'Strength 1b'!BF20,'Strength IV'!BF20)</f>
        <v>5</v>
      </c>
      <c r="BI20" s="30">
        <f>MIN('Strength 1a'!BG20,'Strength 1b'!BG20,'Strength IV'!BG20)</f>
        <v>30.139627791519086</v>
      </c>
      <c r="BJ20" s="30">
        <f>MIN('Strength 1a'!BH20,'Strength 1b'!BH20,'Strength IV'!BH20)</f>
        <v>18.401122218708668</v>
      </c>
      <c r="BK20" s="30">
        <f>MIN('Strength 1a'!BI20,'Strength 1b'!BI20,'Strength IV'!BI20)</f>
        <v>22.402486271104557</v>
      </c>
      <c r="BL20" s="29">
        <f>MIN('Strength 1a'!BJ20,'Strength 1b'!BJ20,'Strength IV'!BJ20)</f>
        <v>0</v>
      </c>
      <c r="BM20" s="31">
        <f>MIN('Strength 1a'!BK20,'Strength 1b'!BK20,'Strength IV'!BK20)</f>
        <v>0.3333333333333333</v>
      </c>
      <c r="BN20" s="29">
        <f>MIN('Strength 1a'!BL20,'Strength 1b'!BL20,'Strength IV'!BL20)</f>
        <v>0</v>
      </c>
      <c r="BO20" s="31">
        <f>MIN('Strength 1a'!BM20,'Strength 1b'!BM20,'Strength IV'!BM20)</f>
        <v>0</v>
      </c>
      <c r="BP20" s="29">
        <f>MIN('Strength 1a'!BN20,'Strength 1b'!BN20,'Strength IV'!BN20)</f>
        <v>0</v>
      </c>
      <c r="BQ20" s="31">
        <f>MIN('Strength 1a'!BO20,'Strength 1b'!BO20,'Strength IV'!BO20)</f>
        <v>0</v>
      </c>
      <c r="BR20" s="235">
        <f t="shared" si="4"/>
        <v>0.017453292519943295</v>
      </c>
      <c r="BS20" s="235">
        <f t="shared" si="5"/>
        <v>0.5773502691896257</v>
      </c>
      <c r="BT20" s="235">
        <f t="shared" si="6"/>
        <v>0</v>
      </c>
      <c r="BU20" s="204" t="s">
        <v>1</v>
      </c>
      <c r="BV20" s="193">
        <f t="shared" si="9"/>
        <v>8</v>
      </c>
      <c r="BW20" s="30">
        <f>MIN('Strength 1a'!BU20,'Strength 1b'!BU20,'Strength IV'!BU20)</f>
        <v>0</v>
      </c>
      <c r="BX20" s="31">
        <f>MIN('Strength 1a'!BV20,'Strength 1b'!BV20,'Strength IV'!BV20)</f>
        <v>0</v>
      </c>
      <c r="BY20" s="31">
        <f>MIN('Strength 1a'!BW20,'Strength 1b'!BW20,'Strength IV'!BW20)</f>
        <v>1</v>
      </c>
      <c r="BZ20" s="31">
        <f>MIN('Strength 1a'!BX20,'Strength 1b'!BX20,'Strength IV'!BX20)</f>
        <v>1</v>
      </c>
      <c r="CA20" s="31">
        <f>MIN('Strength 1a'!BY20,'Strength 1b'!BY20,'Strength IV'!BY20)</f>
        <v>0.7500000000000001</v>
      </c>
      <c r="CB20" s="31">
        <f>MIN('Strength 1a'!BZ20,'Strength 1b'!BZ20,'Strength IV'!BZ20)</f>
        <v>1</v>
      </c>
      <c r="CC20" s="31">
        <f>MIN('Strength 1a'!CA20,'Strength 1b'!CA20,'Strength IV'!CA20)</f>
        <v>1</v>
      </c>
      <c r="CD20" s="31">
        <f>MIN('Strength 1a'!CB20,'Strength 1b'!CB20,'Strength IV'!CB20)</f>
        <v>0</v>
      </c>
      <c r="CE20" s="31">
        <f>MIN('Strength 1a'!CC20,'Strength 1b'!CC20,'Strength IV'!CC20)</f>
        <v>0.4999999999999999</v>
      </c>
      <c r="CF20" s="31">
        <f>MIN('Strength 1a'!CD20,'Strength 1b'!CD20,'Strength IV'!CD20)</f>
        <v>0.5000000000000001</v>
      </c>
      <c r="CG20" s="31">
        <f>MIN('Strength 1a'!CE20,'Strength 1b'!CE20,'Strength IV'!CE20)</f>
        <v>1.5</v>
      </c>
      <c r="CH20" s="31">
        <f>MIN('Strength 1a'!CF20,'Strength 1b'!CF20,'Strength IV'!CF20)</f>
        <v>0.3333333333333334</v>
      </c>
      <c r="CI20" s="31">
        <f>MIN('Strength 1a'!CG20,'Strength 1b'!CG20,'Strength IV'!CG20)</f>
        <v>0.4999999999999999</v>
      </c>
      <c r="CJ20" s="31">
        <f>MIN('Strength 1a'!CH20,'Strength 1b'!CH20,'Strength IV'!CH20)</f>
        <v>0.5000000000000001</v>
      </c>
      <c r="CK20" s="31">
        <f>MIN('Strength 1a'!CI20,'Strength 1b'!CI20,'Strength IV'!CI20)</f>
        <v>1.5</v>
      </c>
      <c r="CL20" s="31">
        <f>MIN('Strength 1a'!CJ20,'Strength 1b'!CJ20,'Strength IV'!CJ20)</f>
        <v>0.3333333333333334</v>
      </c>
    </row>
    <row r="21" spans="1:90" ht="15.75">
      <c r="A21" s="45" t="s">
        <v>61</v>
      </c>
      <c r="B21" s="42">
        <v>11</v>
      </c>
      <c r="C21" s="32">
        <f t="shared" si="0"/>
        <v>30</v>
      </c>
      <c r="D21" s="185">
        <v>28</v>
      </c>
      <c r="E21" s="186">
        <v>2</v>
      </c>
      <c r="F21" s="187">
        <v>21</v>
      </c>
      <c r="G21" s="194" t="str">
        <f t="shared" si="7"/>
        <v>OK</v>
      </c>
      <c r="H21" s="33">
        <f>MIN('Strength 1a'!G21,'Strength 1b'!G21,'Strength IV'!G21)</f>
        <v>2.300869565217391</v>
      </c>
      <c r="I21" s="33">
        <f>MAX('Strength 1a'!H21,'Strength 1b'!H21,'Strength IV'!H21)</f>
        <v>0.8692365835222977</v>
      </c>
      <c r="J21" s="33">
        <f>MIN('Strength 1a'!I21,'Strength 1b'!I21,'Strength IV'!I21)</f>
        <v>1.363990010960491</v>
      </c>
      <c r="K21" s="33">
        <f>MIN('Strength 1a'!J21,'Strength 1b'!J21,'Strength IV'!J21)</f>
        <v>1.0470102825673975</v>
      </c>
      <c r="L21" s="185">
        <v>0</v>
      </c>
      <c r="M21" s="185">
        <v>200</v>
      </c>
      <c r="N21" s="188">
        <f t="shared" si="1"/>
        <v>0</v>
      </c>
      <c r="O21" s="188">
        <f t="shared" si="2"/>
        <v>1</v>
      </c>
      <c r="P21" s="185">
        <v>0</v>
      </c>
      <c r="Q21" s="185">
        <v>105</v>
      </c>
      <c r="R21" s="185">
        <v>105</v>
      </c>
      <c r="S21" s="185">
        <v>30</v>
      </c>
      <c r="T21" s="185">
        <f t="shared" si="8"/>
        <v>0</v>
      </c>
      <c r="U21" s="185">
        <v>105</v>
      </c>
      <c r="V21" s="185">
        <v>30</v>
      </c>
      <c r="W21" s="185">
        <v>0</v>
      </c>
      <c r="X21" s="185">
        <v>30</v>
      </c>
      <c r="Y21" s="189">
        <v>90</v>
      </c>
      <c r="Z21" s="190" t="s">
        <v>82</v>
      </c>
      <c r="AA21" s="191">
        <v>250</v>
      </c>
      <c r="AB21" s="191">
        <v>250</v>
      </c>
      <c r="AC21" s="47" t="s">
        <v>61</v>
      </c>
      <c r="AD21" s="49">
        <f t="shared" si="3"/>
        <v>0.5</v>
      </c>
      <c r="AG21" s="104" t="s">
        <v>46</v>
      </c>
      <c r="AH21" s="26">
        <f>MAX('Strength 1a'!AG21,'Strength 1b'!AG21,'Strength IV'!AG21)</f>
        <v>6623.431316317752</v>
      </c>
      <c r="AI21" s="44">
        <f>MIN('Strength 1a'!AH21,'Strength 1b'!AH21,'Strength IV'!AH21)</f>
        <v>6325.488440909358</v>
      </c>
      <c r="AJ21" s="26">
        <f>MIN('Strength 1a'!AI21,'Strength 1b'!AI21,'Strength IV'!AI21)</f>
        <v>0</v>
      </c>
      <c r="AK21" s="30">
        <f>MIN('Strength 1a'!AJ21,'Strength 1b'!AJ21,'Strength IV'!AJ21)</f>
        <v>0</v>
      </c>
      <c r="AL21" s="26">
        <f>MIN('Strength 1a'!AK21,'Strength 1b'!AK21,'Strength IV'!AK21)</f>
        <v>66150</v>
      </c>
      <c r="AM21" s="26">
        <f>MIN('Strength 1a'!AL21,'Strength 1b'!AL21,'Strength IV'!AL21)</f>
        <v>0</v>
      </c>
      <c r="AN21" s="26">
        <f>MIN('Strength 1a'!AM21,'Strength 1b'!AM21,'Strength IV'!AM21)</f>
        <v>0</v>
      </c>
      <c r="AO21" s="26">
        <f>MIN('Strength 1a'!AN21,'Strength 1b'!AN21)</f>
        <v>9187.5</v>
      </c>
      <c r="AP21" s="29">
        <f>MIN('Strength 1a'!AO21,'Strength 1b'!AO21,'Strength IV'!AO21)</f>
        <v>0</v>
      </c>
      <c r="AQ21" s="26">
        <f>MIN('Strength 1a'!AP21,'Strength 1b'!AP21,'Strength IV'!AP21)</f>
        <v>15750</v>
      </c>
      <c r="AR21" s="26">
        <f>MIN('Strength 1a'!AQ21,'Strength 1b'!AQ21,'Strength IV'!AQ21)</f>
        <v>0</v>
      </c>
      <c r="AS21" s="26">
        <f>MIN('Strength 1a'!AR21,'Strength 1b'!AR21,'Strength IV'!AR21)</f>
        <v>0</v>
      </c>
      <c r="AT21" s="26">
        <f>MIN('Strength 1a'!AS21,'Strength 1b'!AS21)</f>
        <v>2500</v>
      </c>
      <c r="AU21" s="26">
        <f>MIN('Strength 1a'!AT21,'Strength 1b'!AT21)</f>
        <v>0</v>
      </c>
      <c r="AV21" s="26">
        <f>MIN('Strength 1a'!AU21,'Strength 1b'!AU21)</f>
        <v>0</v>
      </c>
      <c r="AW21" s="26">
        <f>MIN('Strength 1a'!AV21,'Strength 1b'!AV21,'Strength IV'!AV21)</f>
        <v>23625</v>
      </c>
      <c r="AX21" s="26">
        <f>MIN('Strength 1a'!AW21,'Strength 1b'!AW21,'Strength IV'!AW21)</f>
        <v>38191.720306893745</v>
      </c>
      <c r="AY21" s="26">
        <f>MIN('Strength 1a'!AX21,'Strength 1b'!AX21,'Strength IV'!AX21)</f>
        <v>66150</v>
      </c>
      <c r="AZ21" s="26">
        <f>'Strength 1b'!AY21</f>
        <v>98490</v>
      </c>
      <c r="BA21" s="26">
        <f>MIN('Strength 1a'!AZ21,'Strength 1b'!AZ21,'Strength IV'!AZ21)</f>
        <v>694575</v>
      </c>
      <c r="BB21" s="26">
        <f>'Strength 1b'!BA21</f>
        <v>1034145</v>
      </c>
      <c r="BC21" s="26">
        <f>MAX('Strength 1a'!BB21,'Strength 1b'!BB21,'Strength IV'!BB21)</f>
        <v>301875</v>
      </c>
      <c r="BD21" s="26">
        <f>'Strength 1b'!BB21</f>
        <v>301875</v>
      </c>
      <c r="BE21" s="30">
        <f>MAX('Strength 1a'!BC21,'Strength 1b'!BC21,'Strength IV'!BC21)</f>
        <v>4.563492063492063</v>
      </c>
      <c r="BF21" s="30">
        <f>'Strength 1b'!BD21</f>
        <v>3.065031982942431</v>
      </c>
      <c r="BG21" s="30">
        <f>'Strength 1b'!BE21</f>
        <v>14.869936034115138</v>
      </c>
      <c r="BH21" s="30">
        <f>MIN('Strength 1a'!BF21,'Strength 1b'!BF21,'Strength IV'!BF21)</f>
        <v>5.25</v>
      </c>
      <c r="BI21" s="30">
        <f>MIN('Strength 1a'!BG21,'Strength 1b'!BG21,'Strength IV'!BG21)</f>
        <v>30.139627791519086</v>
      </c>
      <c r="BJ21" s="30">
        <f>MIN('Strength 1a'!BH21,'Strength 1b'!BH21,'Strength IV'!BH21)</f>
        <v>18.401122218708668</v>
      </c>
      <c r="BK21" s="30">
        <f>MIN('Strength 1a'!BI21,'Strength 1b'!BI21,'Strength IV'!BI21)</f>
        <v>22.402486271104557</v>
      </c>
      <c r="BL21" s="29">
        <f>MIN('Strength 1a'!BJ21,'Strength 1b'!BJ21,'Strength IV'!BJ21)</f>
        <v>0</v>
      </c>
      <c r="BM21" s="31">
        <f>MIN('Strength 1a'!BK21,'Strength 1b'!BK21,'Strength IV'!BK21)</f>
        <v>0.3333333333333333</v>
      </c>
      <c r="BN21" s="29">
        <f>MIN('Strength 1a'!BL21,'Strength 1b'!BL21,'Strength IV'!BL21)</f>
        <v>0</v>
      </c>
      <c r="BO21" s="31">
        <f>MIN('Strength 1a'!BM21,'Strength 1b'!BM21,'Strength IV'!BM21)</f>
        <v>0</v>
      </c>
      <c r="BP21" s="29">
        <f>MIN('Strength 1a'!BN21,'Strength 1b'!BN21,'Strength IV'!BN21)</f>
        <v>0</v>
      </c>
      <c r="BQ21" s="31">
        <f>MIN('Strength 1a'!BO21,'Strength 1b'!BO21,'Strength IV'!BO21)</f>
        <v>0</v>
      </c>
      <c r="BR21" s="192">
        <f t="shared" si="4"/>
        <v>0.017453292519943295</v>
      </c>
      <c r="BS21" s="192">
        <f t="shared" si="5"/>
        <v>0.5773502691896257</v>
      </c>
      <c r="BT21" s="192">
        <f t="shared" si="6"/>
        <v>0</v>
      </c>
      <c r="BU21" s="3" t="s">
        <v>1</v>
      </c>
      <c r="BV21" s="193">
        <f t="shared" si="9"/>
        <v>9</v>
      </c>
      <c r="BW21" s="30">
        <f>MIN('Strength 1a'!BU21,'Strength 1b'!BU21,'Strength IV'!BU21)</f>
        <v>0</v>
      </c>
      <c r="BX21" s="31">
        <f>MIN('Strength 1a'!BV21,'Strength 1b'!BV21,'Strength IV'!BV21)</f>
        <v>0</v>
      </c>
      <c r="BY21" s="31">
        <f>MIN('Strength 1a'!BW21,'Strength 1b'!BW21,'Strength IV'!BW21)</f>
        <v>1</v>
      </c>
      <c r="BZ21" s="31">
        <f>MIN('Strength 1a'!BX21,'Strength 1b'!BX21,'Strength IV'!BX21)</f>
        <v>1</v>
      </c>
      <c r="CA21" s="31">
        <f>MIN('Strength 1a'!BY21,'Strength 1b'!BY21,'Strength IV'!BY21)</f>
        <v>0.7500000000000001</v>
      </c>
      <c r="CB21" s="31">
        <f>MIN('Strength 1a'!BZ21,'Strength 1b'!BZ21,'Strength IV'!BZ21)</f>
        <v>1</v>
      </c>
      <c r="CC21" s="31">
        <f>MIN('Strength 1a'!CA21,'Strength 1b'!CA21,'Strength IV'!CA21)</f>
        <v>1</v>
      </c>
      <c r="CD21" s="31">
        <f>MIN('Strength 1a'!CB21,'Strength 1b'!CB21,'Strength IV'!CB21)</f>
        <v>0</v>
      </c>
      <c r="CE21" s="31">
        <f>MIN('Strength 1a'!CC21,'Strength 1b'!CC21,'Strength IV'!CC21)</f>
        <v>0.4999999999999999</v>
      </c>
      <c r="CF21" s="31">
        <f>MIN('Strength 1a'!CD21,'Strength 1b'!CD21,'Strength IV'!CD21)</f>
        <v>0.5000000000000001</v>
      </c>
      <c r="CG21" s="31">
        <f>MIN('Strength 1a'!CE21,'Strength 1b'!CE21,'Strength IV'!CE21)</f>
        <v>1.5</v>
      </c>
      <c r="CH21" s="31">
        <f>MIN('Strength 1a'!CF21,'Strength 1b'!CF21,'Strength IV'!CF21)</f>
        <v>0.3333333333333334</v>
      </c>
      <c r="CI21" s="31">
        <f>MIN('Strength 1a'!CG21,'Strength 1b'!CG21,'Strength IV'!CG21)</f>
        <v>0.4999999999999999</v>
      </c>
      <c r="CJ21" s="31">
        <f>MIN('Strength 1a'!CH21,'Strength 1b'!CH21,'Strength IV'!CH21)</f>
        <v>0.5000000000000001</v>
      </c>
      <c r="CK21" s="31">
        <f>MIN('Strength 1a'!CI21,'Strength 1b'!CI21,'Strength IV'!CI21)</f>
        <v>1.5</v>
      </c>
      <c r="CL21" s="31">
        <f>MIN('Strength 1a'!CJ21,'Strength 1b'!CJ21,'Strength IV'!CJ21)</f>
        <v>0.3333333333333334</v>
      </c>
    </row>
    <row r="22" spans="1:90" ht="15.75">
      <c r="A22" s="45" t="s">
        <v>61</v>
      </c>
      <c r="B22" s="42">
        <v>12</v>
      </c>
      <c r="C22" s="32">
        <f t="shared" si="0"/>
        <v>32</v>
      </c>
      <c r="D22" s="185">
        <v>30</v>
      </c>
      <c r="E22" s="186">
        <v>2</v>
      </c>
      <c r="F22" s="187">
        <v>23</v>
      </c>
      <c r="G22" s="194" t="str">
        <f t="shared" si="7"/>
        <v>OK</v>
      </c>
      <c r="H22" s="33">
        <f>MIN('Strength 1a'!G22,'Strength 1b'!G22,'Strength IV'!G22)</f>
        <v>2.4591942148760335</v>
      </c>
      <c r="I22" s="33">
        <f>MAX('Strength 1a'!H22,'Strength 1b'!H22,'Strength IV'!H22)</f>
        <v>0.8132745221592101</v>
      </c>
      <c r="J22" s="33">
        <f>MIN('Strength 1a'!I22,'Strength 1b'!I22,'Strength IV'!I22)</f>
        <v>1.4143373458254738</v>
      </c>
      <c r="K22" s="33">
        <f>MIN('Strength 1a'!J22,'Strength 1b'!J22,'Strength IV'!J22)</f>
        <v>1.0967460227419994</v>
      </c>
      <c r="L22" s="185">
        <v>0</v>
      </c>
      <c r="M22" s="185">
        <v>200</v>
      </c>
      <c r="N22" s="188">
        <f t="shared" si="1"/>
        <v>0</v>
      </c>
      <c r="O22" s="188">
        <f t="shared" si="2"/>
        <v>1</v>
      </c>
      <c r="P22" s="185">
        <v>0</v>
      </c>
      <c r="Q22" s="185">
        <v>105</v>
      </c>
      <c r="R22" s="185">
        <v>105</v>
      </c>
      <c r="S22" s="185">
        <v>30</v>
      </c>
      <c r="T22" s="185">
        <f t="shared" si="8"/>
        <v>0</v>
      </c>
      <c r="U22" s="185">
        <v>105</v>
      </c>
      <c r="V22" s="185">
        <v>30</v>
      </c>
      <c r="W22" s="185">
        <v>0</v>
      </c>
      <c r="X22" s="185">
        <v>30</v>
      </c>
      <c r="Y22" s="189">
        <v>90</v>
      </c>
      <c r="Z22" s="190" t="s">
        <v>82</v>
      </c>
      <c r="AA22" s="191">
        <v>250</v>
      </c>
      <c r="AB22" s="191">
        <v>250</v>
      </c>
      <c r="AC22" s="47" t="s">
        <v>61</v>
      </c>
      <c r="AD22" s="49">
        <f t="shared" si="3"/>
        <v>0.5</v>
      </c>
      <c r="AG22" s="104" t="s">
        <v>41</v>
      </c>
      <c r="AH22" s="26">
        <f>MAX('Strength 1a'!AG22,'Strength 1b'!AG22,'Strength IV'!AG22)</f>
        <v>6857.316051166325</v>
      </c>
      <c r="AI22" s="44">
        <f>MIN('Strength 1a'!AH22,'Strength 1b'!AH22,'Strength IV'!AH22)</f>
        <v>6887.870794981009</v>
      </c>
      <c r="AJ22" s="26">
        <f>MIN('Strength 1a'!AI22,'Strength 1b'!AI22,'Strength IV'!AI22)</f>
        <v>0</v>
      </c>
      <c r="AK22" s="30">
        <f>MIN('Strength 1a'!AJ22,'Strength 1b'!AJ22,'Strength IV'!AJ22)</f>
        <v>0</v>
      </c>
      <c r="AL22" s="26">
        <f>MIN('Strength 1a'!AK22,'Strength 1b'!AK22,'Strength IV'!AK22)</f>
        <v>77280</v>
      </c>
      <c r="AM22" s="26">
        <f>MIN('Strength 1a'!AL22,'Strength 1b'!AL22,'Strength IV'!AL22)</f>
        <v>0</v>
      </c>
      <c r="AN22" s="26">
        <f>MIN('Strength 1a'!AM22,'Strength 1b'!AM22,'Strength IV'!AM22)</f>
        <v>0</v>
      </c>
      <c r="AO22" s="26">
        <f>MIN('Strength 1a'!AN22,'Strength 1b'!AN22)</f>
        <v>10062.5</v>
      </c>
      <c r="AP22" s="29">
        <f>MIN('Strength 1a'!AO22,'Strength 1b'!AO22,'Strength IV'!AO22)</f>
        <v>0</v>
      </c>
      <c r="AQ22" s="26">
        <f>MIN('Strength 1a'!AP22,'Strength 1b'!AP22,'Strength IV'!AP22)</f>
        <v>17920</v>
      </c>
      <c r="AR22" s="26">
        <f>MIN('Strength 1a'!AQ22,'Strength 1b'!AQ22,'Strength IV'!AQ22)</f>
        <v>0</v>
      </c>
      <c r="AS22" s="26">
        <f>MIN('Strength 1a'!AR22,'Strength 1b'!AR22,'Strength IV'!AR22)</f>
        <v>0</v>
      </c>
      <c r="AT22" s="26">
        <f>MIN('Strength 1a'!AS22,'Strength 1b'!AS22)</f>
        <v>2666.6666666666665</v>
      </c>
      <c r="AU22" s="26">
        <f>MIN('Strength 1a'!AT22,'Strength 1b'!AT22)</f>
        <v>0</v>
      </c>
      <c r="AV22" s="26">
        <f>MIN('Strength 1a'!AU22,'Strength 1b'!AU22)</f>
        <v>0</v>
      </c>
      <c r="AW22" s="26">
        <f>MIN('Strength 1a'!AV22,'Strength 1b'!AV22,'Strength IV'!AV22)</f>
        <v>26880</v>
      </c>
      <c r="AX22" s="26">
        <f>MIN('Strength 1a'!AW22,'Strength 1b'!AW22,'Strength IV'!AW22)</f>
        <v>44617.62880297428</v>
      </c>
      <c r="AY22" s="26">
        <f>MIN('Strength 1a'!AX22,'Strength 1b'!AX22,'Strength IV'!AX22)</f>
        <v>77280</v>
      </c>
      <c r="AZ22" s="26">
        <f>'Strength 1b'!AY22</f>
        <v>114390.5</v>
      </c>
      <c r="BA22" s="26">
        <f>MIN('Strength 1a'!AZ22,'Strength 1b'!AZ22,'Strength IV'!AZ22)</f>
        <v>888720</v>
      </c>
      <c r="BB22" s="26">
        <f>'Strength 1b'!BA22</f>
        <v>1315490.75</v>
      </c>
      <c r="BC22" s="26">
        <f>MAX('Strength 1a'!BB22,'Strength 1b'!BB22,'Strength IV'!BB22)</f>
        <v>361386.6666666666</v>
      </c>
      <c r="BD22" s="26">
        <f>'Strength 1b'!BB22</f>
        <v>361386.6666666666</v>
      </c>
      <c r="BE22" s="30">
        <f>MAX('Strength 1a'!BC22,'Strength 1b'!BC22,'Strength IV'!BC22)</f>
        <v>4.676328502415458</v>
      </c>
      <c r="BF22" s="30">
        <f>'Strength 1b'!BD22</f>
        <v>3.1592367081765236</v>
      </c>
      <c r="BG22" s="30">
        <f>'Strength 1b'!BE22</f>
        <v>16.681526583646953</v>
      </c>
      <c r="BH22" s="30">
        <f>MIN('Strength 1a'!BF22,'Strength 1b'!BF22,'Strength IV'!BF22)</f>
        <v>5.75</v>
      </c>
      <c r="BI22" s="30">
        <f>MIN('Strength 1a'!BG22,'Strength 1b'!BG22,'Strength IV'!BG22)</f>
        <v>30.139627791519086</v>
      </c>
      <c r="BJ22" s="30">
        <f>MIN('Strength 1a'!BH22,'Strength 1b'!BH22,'Strength IV'!BH22)</f>
        <v>18.401122218708668</v>
      </c>
      <c r="BK22" s="30">
        <f>MIN('Strength 1a'!BI22,'Strength 1b'!BI22,'Strength IV'!BI22)</f>
        <v>22.402486271104557</v>
      </c>
      <c r="BL22" s="29">
        <f>MIN('Strength 1a'!BJ22,'Strength 1b'!BJ22,'Strength IV'!BJ22)</f>
        <v>0</v>
      </c>
      <c r="BM22" s="31">
        <f>MIN('Strength 1a'!BK22,'Strength 1b'!BK22,'Strength IV'!BK22)</f>
        <v>0.3333333333333333</v>
      </c>
      <c r="BN22" s="29">
        <f>MIN('Strength 1a'!BL22,'Strength 1b'!BL22,'Strength IV'!BL22)</f>
        <v>0</v>
      </c>
      <c r="BO22" s="31">
        <f>MIN('Strength 1a'!BM22,'Strength 1b'!BM22,'Strength IV'!BM22)</f>
        <v>0</v>
      </c>
      <c r="BP22" s="29">
        <f>MIN('Strength 1a'!BN22,'Strength 1b'!BN22,'Strength IV'!BN22)</f>
        <v>0</v>
      </c>
      <c r="BQ22" s="31">
        <f>MIN('Strength 1a'!BO22,'Strength 1b'!BO22,'Strength IV'!BO22)</f>
        <v>0</v>
      </c>
      <c r="BR22" s="235">
        <f t="shared" si="4"/>
        <v>0.017453292519943295</v>
      </c>
      <c r="BS22" s="235">
        <f t="shared" si="5"/>
        <v>0.5773502691896257</v>
      </c>
      <c r="BT22" s="235">
        <f t="shared" si="6"/>
        <v>0</v>
      </c>
      <c r="BU22" s="204" t="s">
        <v>1</v>
      </c>
      <c r="BV22" s="193">
        <f t="shared" si="9"/>
        <v>10</v>
      </c>
      <c r="BW22" s="30">
        <f>MIN('Strength 1a'!BU22,'Strength 1b'!BU22,'Strength IV'!BU22)</f>
        <v>0</v>
      </c>
      <c r="BX22" s="31">
        <f>MIN('Strength 1a'!BV22,'Strength 1b'!BV22,'Strength IV'!BV22)</f>
        <v>0</v>
      </c>
      <c r="BY22" s="31">
        <f>MIN('Strength 1a'!BW22,'Strength 1b'!BW22,'Strength IV'!BW22)</f>
        <v>1</v>
      </c>
      <c r="BZ22" s="31">
        <f>MIN('Strength 1a'!BX22,'Strength 1b'!BX22,'Strength IV'!BX22)</f>
        <v>1</v>
      </c>
      <c r="CA22" s="31">
        <f>MIN('Strength 1a'!BY22,'Strength 1b'!BY22,'Strength IV'!BY22)</f>
        <v>0.7500000000000001</v>
      </c>
      <c r="CB22" s="31">
        <f>MIN('Strength 1a'!BZ22,'Strength 1b'!BZ22,'Strength IV'!BZ22)</f>
        <v>1</v>
      </c>
      <c r="CC22" s="31">
        <f>MIN('Strength 1a'!CA22,'Strength 1b'!CA22,'Strength IV'!CA22)</f>
        <v>1</v>
      </c>
      <c r="CD22" s="31">
        <f>MIN('Strength 1a'!CB22,'Strength 1b'!CB22,'Strength IV'!CB22)</f>
        <v>0</v>
      </c>
      <c r="CE22" s="31">
        <f>MIN('Strength 1a'!CC22,'Strength 1b'!CC22,'Strength IV'!CC22)</f>
        <v>0.4999999999999999</v>
      </c>
      <c r="CF22" s="31">
        <f>MIN('Strength 1a'!CD22,'Strength 1b'!CD22,'Strength IV'!CD22)</f>
        <v>0.5000000000000001</v>
      </c>
      <c r="CG22" s="31">
        <f>MIN('Strength 1a'!CE22,'Strength 1b'!CE22,'Strength IV'!CE22)</f>
        <v>1.5</v>
      </c>
      <c r="CH22" s="31">
        <f>MIN('Strength 1a'!CF22,'Strength 1b'!CF22,'Strength IV'!CF22)</f>
        <v>0.3333333333333334</v>
      </c>
      <c r="CI22" s="31">
        <f>MIN('Strength 1a'!CG22,'Strength 1b'!CG22,'Strength IV'!CG22)</f>
        <v>0.4999999999999999</v>
      </c>
      <c r="CJ22" s="31">
        <f>MIN('Strength 1a'!CH22,'Strength 1b'!CH22,'Strength IV'!CH22)</f>
        <v>0.5000000000000001</v>
      </c>
      <c r="CK22" s="31">
        <f>MIN('Strength 1a'!CI22,'Strength 1b'!CI22,'Strength IV'!CI22)</f>
        <v>1.5</v>
      </c>
      <c r="CL22" s="31">
        <f>MIN('Strength 1a'!CJ22,'Strength 1b'!CJ22,'Strength IV'!CJ22)</f>
        <v>0.3333333333333334</v>
      </c>
    </row>
    <row r="23" spans="1:90" ht="15.75">
      <c r="A23" s="45" t="s">
        <v>61</v>
      </c>
      <c r="B23" s="42">
        <v>13</v>
      </c>
      <c r="C23" s="32">
        <f t="shared" si="0"/>
        <v>34</v>
      </c>
      <c r="D23" s="185">
        <v>32</v>
      </c>
      <c r="E23" s="186">
        <v>2</v>
      </c>
      <c r="F23" s="187">
        <v>24</v>
      </c>
      <c r="G23" s="194" t="str">
        <f t="shared" si="7"/>
        <v>OK</v>
      </c>
      <c r="H23" s="33">
        <f>MIN('Strength 1a'!G23,'Strength 1b'!G23,'Strength IV'!G23)</f>
        <v>2.4011116257526637</v>
      </c>
      <c r="I23" s="33">
        <f>MAX('Strength 1a'!H23,'Strength 1b'!H23,'Strength IV'!H23)</f>
        <v>0.8329475308641975</v>
      </c>
      <c r="J23" s="33">
        <f>MIN('Strength 1a'!I23,'Strength 1b'!I23,'Strength IV'!I23)</f>
        <v>1.4012096420781928</v>
      </c>
      <c r="K23" s="33">
        <f>MIN('Strength 1a'!J23,'Strength 1b'!J23,'Strength IV'!J23)</f>
        <v>1.049415400490209</v>
      </c>
      <c r="L23" s="185">
        <v>0</v>
      </c>
      <c r="M23" s="185">
        <v>200</v>
      </c>
      <c r="N23" s="188">
        <f t="shared" si="1"/>
        <v>0</v>
      </c>
      <c r="O23" s="188">
        <f t="shared" si="2"/>
        <v>1</v>
      </c>
      <c r="P23" s="185">
        <v>0</v>
      </c>
      <c r="Q23" s="185">
        <v>105</v>
      </c>
      <c r="R23" s="185">
        <v>105</v>
      </c>
      <c r="S23" s="185">
        <v>30</v>
      </c>
      <c r="T23" s="185">
        <f t="shared" si="8"/>
        <v>0</v>
      </c>
      <c r="U23" s="185">
        <v>105</v>
      </c>
      <c r="V23" s="185">
        <v>30</v>
      </c>
      <c r="W23" s="185">
        <v>0</v>
      </c>
      <c r="X23" s="185">
        <v>30</v>
      </c>
      <c r="Y23" s="189">
        <v>90</v>
      </c>
      <c r="Z23" s="190" t="s">
        <v>82</v>
      </c>
      <c r="AA23" s="191">
        <v>250</v>
      </c>
      <c r="AB23" s="191">
        <v>250</v>
      </c>
      <c r="AC23" s="47" t="s">
        <v>61</v>
      </c>
      <c r="AD23" s="49">
        <f t="shared" si="3"/>
        <v>0.5</v>
      </c>
      <c r="AG23" s="104" t="s">
        <v>47</v>
      </c>
      <c r="AH23" s="26">
        <f>MAX('Strength 1a'!AG23,'Strength 1b'!AG23,'Strength IV'!AG23)</f>
        <v>7330.15016256616</v>
      </c>
      <c r="AI23" s="44">
        <f>MIN('Strength 1a'!AH23,'Strength 1b'!AH23,'Strength IV'!AH23)</f>
        <v>7007.862027691895</v>
      </c>
      <c r="AJ23" s="26">
        <f>MIN('Strength 1a'!AI23,'Strength 1b'!AI23,'Strength IV'!AI23)</f>
        <v>0</v>
      </c>
      <c r="AK23" s="30">
        <f>MIN('Strength 1a'!AJ23,'Strength 1b'!AJ23,'Strength IV'!AJ23)</f>
        <v>0</v>
      </c>
      <c r="AL23" s="26">
        <f>MIN('Strength 1a'!AK23,'Strength 1b'!AK23,'Strength IV'!AK23)</f>
        <v>85680</v>
      </c>
      <c r="AM23" s="26">
        <f>MIN('Strength 1a'!AL23,'Strength 1b'!AL23,'Strength IV'!AL23)</f>
        <v>0</v>
      </c>
      <c r="AN23" s="26">
        <f>MIN('Strength 1a'!AM23,'Strength 1b'!AM23,'Strength IV'!AM23)</f>
        <v>0</v>
      </c>
      <c r="AO23" s="26">
        <f>MIN('Strength 1a'!AN23,'Strength 1b'!AN23)</f>
        <v>10500</v>
      </c>
      <c r="AP23" s="29">
        <f>MIN('Strength 1a'!AO23,'Strength 1b'!AO23,'Strength IV'!AO23)</f>
        <v>0</v>
      </c>
      <c r="AQ23" s="26">
        <f>MIN('Strength 1a'!AP23,'Strength 1b'!AP23,'Strength IV'!AP23)</f>
        <v>20230</v>
      </c>
      <c r="AR23" s="26">
        <f>MIN('Strength 1a'!AQ23,'Strength 1b'!AQ23,'Strength IV'!AQ23)</f>
        <v>0</v>
      </c>
      <c r="AS23" s="26">
        <f>MIN('Strength 1a'!AR23,'Strength 1b'!AR23,'Strength IV'!AR23)</f>
        <v>0</v>
      </c>
      <c r="AT23" s="26">
        <f>MIN('Strength 1a'!AS23,'Strength 1b'!AS23)</f>
        <v>2833.333333333333</v>
      </c>
      <c r="AU23" s="26">
        <f>MIN('Strength 1a'!AT23,'Strength 1b'!AT23)</f>
        <v>0</v>
      </c>
      <c r="AV23" s="26">
        <f>MIN('Strength 1a'!AU23,'Strength 1b'!AU23)</f>
        <v>0</v>
      </c>
      <c r="AW23" s="26">
        <f>MIN('Strength 1a'!AV23,'Strength 1b'!AV23,'Strength IV'!AV23)</f>
        <v>30345</v>
      </c>
      <c r="AX23" s="26">
        <f>MIN('Strength 1a'!AW23,'Strength 1b'!AW23,'Strength IV'!AW23)</f>
        <v>49467.371064167135</v>
      </c>
      <c r="AY23" s="26">
        <f>MIN('Strength 1a'!AX23,'Strength 1b'!AX23,'Strength IV'!AX23)</f>
        <v>85680</v>
      </c>
      <c r="AZ23" s="26">
        <f>'Strength 1b'!AY23</f>
        <v>126168.00000000001</v>
      </c>
      <c r="BA23" s="26">
        <f>MIN('Strength 1a'!AZ23,'Strength 1b'!AZ23,'Strength IV'!AZ23)</f>
        <v>1028160</v>
      </c>
      <c r="BB23" s="26">
        <f>'Strength 1b'!BA23</f>
        <v>1514016.0000000002</v>
      </c>
      <c r="BC23" s="26">
        <f>MAX('Strength 1a'!BB23,'Strength 1b'!BB23,'Strength IV'!BB23)</f>
        <v>428201.6666666666</v>
      </c>
      <c r="BD23" s="26">
        <f>'Strength 1b'!BB23</f>
        <v>428201.6666666666</v>
      </c>
      <c r="BE23" s="30">
        <f>MAX('Strength 1a'!BC23,'Strength 1b'!BC23,'Strength IV'!BC23)</f>
        <v>4.997685185185185</v>
      </c>
      <c r="BF23" s="30">
        <f>'Strength 1b'!BD23</f>
        <v>3.3939007249593125</v>
      </c>
      <c r="BG23" s="30">
        <f>'Strength 1b'!BE23</f>
        <v>17.212198550081375</v>
      </c>
      <c r="BH23" s="30">
        <f>MIN('Strength 1a'!BF23,'Strength 1b'!BF23,'Strength IV'!BF23)</f>
        <v>6</v>
      </c>
      <c r="BI23" s="30">
        <f>MIN('Strength 1a'!BG23,'Strength 1b'!BG23,'Strength IV'!BG23)</f>
        <v>30.139627791519086</v>
      </c>
      <c r="BJ23" s="30">
        <f>MIN('Strength 1a'!BH23,'Strength 1b'!BH23,'Strength IV'!BH23)</f>
        <v>18.401122218708668</v>
      </c>
      <c r="BK23" s="30">
        <f>MIN('Strength 1a'!BI23,'Strength 1b'!BI23,'Strength IV'!BI23)</f>
        <v>22.402486271104557</v>
      </c>
      <c r="BL23" s="29">
        <f>MIN('Strength 1a'!BJ23,'Strength 1b'!BJ23,'Strength IV'!BJ23)</f>
        <v>0</v>
      </c>
      <c r="BM23" s="31">
        <f>MIN('Strength 1a'!BK23,'Strength 1b'!BK23,'Strength IV'!BK23)</f>
        <v>0.3333333333333333</v>
      </c>
      <c r="BN23" s="29">
        <f>MIN('Strength 1a'!BL23,'Strength 1b'!BL23,'Strength IV'!BL23)</f>
        <v>0</v>
      </c>
      <c r="BO23" s="31">
        <f>MIN('Strength 1a'!BM23,'Strength 1b'!BM23,'Strength IV'!BM23)</f>
        <v>0</v>
      </c>
      <c r="BP23" s="29">
        <f>MIN('Strength 1a'!BN23,'Strength 1b'!BN23,'Strength IV'!BN23)</f>
        <v>0</v>
      </c>
      <c r="BQ23" s="31">
        <f>MIN('Strength 1a'!BO23,'Strength 1b'!BO23,'Strength IV'!BO23)</f>
        <v>0</v>
      </c>
      <c r="BR23" s="192">
        <f t="shared" si="4"/>
        <v>0.017453292519943295</v>
      </c>
      <c r="BS23" s="192">
        <f t="shared" si="5"/>
        <v>0.5773502691896257</v>
      </c>
      <c r="BT23" s="192">
        <f t="shared" si="6"/>
        <v>0</v>
      </c>
      <c r="BU23" s="3" t="s">
        <v>1</v>
      </c>
      <c r="BV23" s="193">
        <f t="shared" si="9"/>
        <v>11</v>
      </c>
      <c r="BW23" s="30">
        <f>MIN('Strength 1a'!BU23,'Strength 1b'!BU23,'Strength IV'!BU23)</f>
        <v>0</v>
      </c>
      <c r="BX23" s="31">
        <f>MIN('Strength 1a'!BV23,'Strength 1b'!BV23,'Strength IV'!BV23)</f>
        <v>0</v>
      </c>
      <c r="BY23" s="31">
        <f>MIN('Strength 1a'!BW23,'Strength 1b'!BW23,'Strength IV'!BW23)</f>
        <v>1</v>
      </c>
      <c r="BZ23" s="31">
        <f>MIN('Strength 1a'!BX23,'Strength 1b'!BX23,'Strength IV'!BX23)</f>
        <v>1</v>
      </c>
      <c r="CA23" s="31">
        <f>MIN('Strength 1a'!BY23,'Strength 1b'!BY23,'Strength IV'!BY23)</f>
        <v>0.7500000000000001</v>
      </c>
      <c r="CB23" s="31">
        <f>MIN('Strength 1a'!BZ23,'Strength 1b'!BZ23,'Strength IV'!BZ23)</f>
        <v>1</v>
      </c>
      <c r="CC23" s="31">
        <f>MIN('Strength 1a'!CA23,'Strength 1b'!CA23,'Strength IV'!CA23)</f>
        <v>1</v>
      </c>
      <c r="CD23" s="31">
        <f>MIN('Strength 1a'!CB23,'Strength 1b'!CB23,'Strength IV'!CB23)</f>
        <v>0</v>
      </c>
      <c r="CE23" s="31">
        <f>MIN('Strength 1a'!CC23,'Strength 1b'!CC23,'Strength IV'!CC23)</f>
        <v>0.4999999999999999</v>
      </c>
      <c r="CF23" s="31">
        <f>MIN('Strength 1a'!CD23,'Strength 1b'!CD23,'Strength IV'!CD23)</f>
        <v>0.5000000000000001</v>
      </c>
      <c r="CG23" s="31">
        <f>MIN('Strength 1a'!CE23,'Strength 1b'!CE23,'Strength IV'!CE23)</f>
        <v>1.5</v>
      </c>
      <c r="CH23" s="31">
        <f>MIN('Strength 1a'!CF23,'Strength 1b'!CF23,'Strength IV'!CF23)</f>
        <v>0.3333333333333334</v>
      </c>
      <c r="CI23" s="31">
        <f>MIN('Strength 1a'!CG23,'Strength 1b'!CG23,'Strength IV'!CG23)</f>
        <v>0.4999999999999999</v>
      </c>
      <c r="CJ23" s="31">
        <f>MIN('Strength 1a'!CH23,'Strength 1b'!CH23,'Strength IV'!CH23)</f>
        <v>0.5000000000000001</v>
      </c>
      <c r="CK23" s="31">
        <f>MIN('Strength 1a'!CI23,'Strength 1b'!CI23,'Strength IV'!CI23)</f>
        <v>1.5</v>
      </c>
      <c r="CL23" s="31">
        <f>MIN('Strength 1a'!CJ23,'Strength 1b'!CJ23,'Strength IV'!CJ23)</f>
        <v>0.3333333333333334</v>
      </c>
    </row>
    <row r="24" spans="1:90" ht="15.75">
      <c r="A24" s="45" t="s">
        <v>61</v>
      </c>
      <c r="B24" s="42">
        <v>14</v>
      </c>
      <c r="C24" s="32">
        <f t="shared" si="0"/>
        <v>36</v>
      </c>
      <c r="D24" s="185">
        <v>34</v>
      </c>
      <c r="E24" s="186">
        <v>2</v>
      </c>
      <c r="F24" s="187">
        <v>26</v>
      </c>
      <c r="G24" s="194" t="str">
        <f t="shared" si="7"/>
        <v>OK</v>
      </c>
      <c r="H24" s="33">
        <f>MIN('Strength 1a'!G24,'Strength 1b'!G24,'Strength IV'!G24)</f>
        <v>2.5413533834586466</v>
      </c>
      <c r="I24" s="33">
        <f>MAX('Strength 1a'!H24,'Strength 1b'!H24,'Strength IV'!H24)</f>
        <v>0.78698224852071</v>
      </c>
      <c r="J24" s="33">
        <f>MIN('Strength 1a'!I24,'Strength 1b'!I24,'Strength IV'!I24)</f>
        <v>1.4449193902713628</v>
      </c>
      <c r="K24" s="33">
        <f>MIN('Strength 1a'!J24,'Strength 1b'!J24,'Strength IV'!J24)</f>
        <v>1.0928690403608048</v>
      </c>
      <c r="L24" s="185">
        <v>0</v>
      </c>
      <c r="M24" s="185">
        <v>200</v>
      </c>
      <c r="N24" s="188">
        <f t="shared" si="1"/>
        <v>0</v>
      </c>
      <c r="O24" s="188">
        <f t="shared" si="2"/>
        <v>1</v>
      </c>
      <c r="P24" s="185">
        <v>0</v>
      </c>
      <c r="Q24" s="185">
        <v>105</v>
      </c>
      <c r="R24" s="185">
        <v>105</v>
      </c>
      <c r="S24" s="185">
        <v>30</v>
      </c>
      <c r="T24" s="185">
        <f t="shared" si="8"/>
        <v>0</v>
      </c>
      <c r="U24" s="185">
        <v>105</v>
      </c>
      <c r="V24" s="185">
        <v>30</v>
      </c>
      <c r="W24" s="185">
        <v>0</v>
      </c>
      <c r="X24" s="185">
        <v>30</v>
      </c>
      <c r="Y24" s="189">
        <v>90</v>
      </c>
      <c r="Z24" s="190" t="s">
        <v>82</v>
      </c>
      <c r="AA24" s="191">
        <v>250</v>
      </c>
      <c r="AB24" s="191">
        <v>250</v>
      </c>
      <c r="AC24" s="47" t="s">
        <v>61</v>
      </c>
      <c r="AD24" s="49">
        <f t="shared" si="3"/>
        <v>0.5</v>
      </c>
      <c r="AF24" s="149"/>
      <c r="AG24" s="82" t="s">
        <v>41</v>
      </c>
      <c r="AH24" s="26">
        <f>MAX('Strength 1a'!AG24,'Strength 1b'!AG24,'Strength IV'!AG24)</f>
        <v>7573.736981814652</v>
      </c>
      <c r="AI24" s="44">
        <f>MIN('Strength 1a'!AH24,'Strength 1b'!AH24,'Strength IV'!AH24)</f>
        <v>7568.921946862598</v>
      </c>
      <c r="AJ24" s="26">
        <f>MIN('Strength 1a'!AI24,'Strength 1b'!AI24,'Strength IV'!AI24)</f>
        <v>0</v>
      </c>
      <c r="AK24" s="30">
        <f>MIN('Strength 1a'!AJ24,'Strength 1b'!AJ24,'Strength IV'!AJ24)</f>
        <v>0</v>
      </c>
      <c r="AL24" s="26">
        <f>MIN('Strength 1a'!AK24,'Strength 1b'!AK24,'Strength IV'!AK24)</f>
        <v>98280</v>
      </c>
      <c r="AM24" s="26">
        <f>MIN('Strength 1a'!AL24,'Strength 1b'!AL24,'Strength IV'!AL24)</f>
        <v>0</v>
      </c>
      <c r="AN24" s="26">
        <f>MIN('Strength 1a'!AM24,'Strength 1b'!AM24,'Strength IV'!AM24)</f>
        <v>0</v>
      </c>
      <c r="AO24" s="26">
        <f>MIN('Strength 1a'!AN24,'Strength 1b'!AN24)</f>
        <v>11375</v>
      </c>
      <c r="AP24" s="29">
        <f>MIN('Strength 1a'!AO24,'Strength 1b'!AO24,'Strength IV'!AO24)</f>
        <v>0</v>
      </c>
      <c r="AQ24" s="26">
        <f>MIN('Strength 1a'!AP24,'Strength 1b'!AP24,'Strength IV'!AP24)</f>
        <v>22680</v>
      </c>
      <c r="AR24" s="26">
        <f>MIN('Strength 1a'!AQ24,'Strength 1b'!AQ24,'Strength IV'!AQ24)</f>
        <v>0</v>
      </c>
      <c r="AS24" s="26">
        <f>MIN('Strength 1a'!AR24,'Strength 1b'!AR24,'Strength IV'!AR24)</f>
        <v>0</v>
      </c>
      <c r="AT24" s="26">
        <f>MIN('Strength 1a'!AS24,'Strength 1b'!AS24)</f>
        <v>3000</v>
      </c>
      <c r="AU24" s="26">
        <f>MIN('Strength 1a'!AT24,'Strength 1b'!AT24)</f>
        <v>0</v>
      </c>
      <c r="AV24" s="26">
        <f>MIN('Strength 1a'!AU24,'Strength 1b'!AU24)</f>
        <v>0</v>
      </c>
      <c r="AW24" s="26">
        <f>MIN('Strength 1a'!AV24,'Strength 1b'!AV24,'Strength IV'!AV24)</f>
        <v>34020</v>
      </c>
      <c r="AX24" s="26">
        <f>MIN('Strength 1a'!AW24,'Strength 1b'!AW24,'Strength IV'!AW24)</f>
        <v>56741.984455956415</v>
      </c>
      <c r="AY24" s="26">
        <f>MIN('Strength 1a'!AX24,'Strength 1b'!AX24,'Strength IV'!AX24)</f>
        <v>98280</v>
      </c>
      <c r="AZ24" s="26">
        <f>'Strength 1b'!AY24</f>
        <v>144053</v>
      </c>
      <c r="BA24" s="26">
        <f>MIN('Strength 1a'!AZ24,'Strength 1b'!AZ24,'Strength IV'!AZ24)</f>
        <v>1277640</v>
      </c>
      <c r="BB24" s="26">
        <f>'Strength 1b'!BA24</f>
        <v>1872689</v>
      </c>
      <c r="BC24" s="26">
        <f>MAX('Strength 1a'!BB24,'Strength 1b'!BB24,'Strength IV'!BB24)</f>
        <v>502740</v>
      </c>
      <c r="BD24" s="26">
        <f>'Strength 1b'!BB24</f>
        <v>502740</v>
      </c>
      <c r="BE24" s="30">
        <f>MAX('Strength 1a'!BC24,'Strength 1b'!BC24,'Strength IV'!BC24)</f>
        <v>5.115384615384615</v>
      </c>
      <c r="BF24" s="30">
        <f>'Strength 1b'!BD24</f>
        <v>3.4899654988094664</v>
      </c>
      <c r="BG24" s="30">
        <f>'Strength 1b'!BE24</f>
        <v>19.020069002381067</v>
      </c>
      <c r="BH24" s="30">
        <f>MIN('Strength 1a'!BF24,'Strength 1b'!BF24,'Strength IV'!BF24)</f>
        <v>6.5</v>
      </c>
      <c r="BI24" s="30">
        <f>MIN('Strength 1a'!BG24,'Strength 1b'!BG24,'Strength IV'!BG24)</f>
        <v>30.139627791519086</v>
      </c>
      <c r="BJ24" s="30">
        <f>MIN('Strength 1a'!BH24,'Strength 1b'!BH24,'Strength IV'!BH24)</f>
        <v>18.401122218708668</v>
      </c>
      <c r="BK24" s="30">
        <f>MIN('Strength 1a'!BI24,'Strength 1b'!BI24,'Strength IV'!BI24)</f>
        <v>22.402486271104557</v>
      </c>
      <c r="BL24" s="29">
        <f>MIN('Strength 1a'!BJ24,'Strength 1b'!BJ24,'Strength IV'!BJ24)</f>
        <v>0</v>
      </c>
      <c r="BM24" s="31">
        <f>MIN('Strength 1a'!BK24,'Strength 1b'!BK24,'Strength IV'!BK24)</f>
        <v>0.3333333333333333</v>
      </c>
      <c r="BN24" s="29">
        <f>MIN('Strength 1a'!BL24,'Strength 1b'!BL24,'Strength IV'!BL24)</f>
        <v>0</v>
      </c>
      <c r="BO24" s="31">
        <f>MIN('Strength 1a'!BM24,'Strength 1b'!BM24,'Strength IV'!BM24)</f>
        <v>0</v>
      </c>
      <c r="BP24" s="29">
        <f>MIN('Strength 1a'!BN24,'Strength 1b'!BN24,'Strength IV'!BN24)</f>
        <v>0</v>
      </c>
      <c r="BQ24" s="31">
        <f>MIN('Strength 1a'!BO24,'Strength 1b'!BO24,'Strength IV'!BO24)</f>
        <v>0</v>
      </c>
      <c r="BR24" s="235">
        <f t="shared" si="4"/>
        <v>0.017453292519943295</v>
      </c>
      <c r="BS24" s="235">
        <f t="shared" si="5"/>
        <v>0.5773502691896257</v>
      </c>
      <c r="BT24" s="235">
        <f t="shared" si="6"/>
        <v>0</v>
      </c>
      <c r="BU24" s="204" t="s">
        <v>1</v>
      </c>
      <c r="BV24" s="193">
        <f t="shared" si="9"/>
        <v>12</v>
      </c>
      <c r="BW24" s="30">
        <f>MIN('Strength 1a'!BU24,'Strength 1b'!BU24,'Strength IV'!BU24)</f>
        <v>0</v>
      </c>
      <c r="BX24" s="31">
        <f>MIN('Strength 1a'!BV24,'Strength 1b'!BV24,'Strength IV'!BV24)</f>
        <v>0</v>
      </c>
      <c r="BY24" s="31">
        <f>MIN('Strength 1a'!BW24,'Strength 1b'!BW24,'Strength IV'!BW24)</f>
        <v>1</v>
      </c>
      <c r="BZ24" s="31">
        <f>MIN('Strength 1a'!BX24,'Strength 1b'!BX24,'Strength IV'!BX24)</f>
        <v>1</v>
      </c>
      <c r="CA24" s="31">
        <f>MIN('Strength 1a'!BY24,'Strength 1b'!BY24,'Strength IV'!BY24)</f>
        <v>0.7500000000000001</v>
      </c>
      <c r="CB24" s="31">
        <f>MIN('Strength 1a'!BZ24,'Strength 1b'!BZ24,'Strength IV'!BZ24)</f>
        <v>1</v>
      </c>
      <c r="CC24" s="31">
        <f>MIN('Strength 1a'!CA24,'Strength 1b'!CA24,'Strength IV'!CA24)</f>
        <v>1</v>
      </c>
      <c r="CD24" s="31">
        <f>MIN('Strength 1a'!CB24,'Strength 1b'!CB24,'Strength IV'!CB24)</f>
        <v>0</v>
      </c>
      <c r="CE24" s="31">
        <f>MIN('Strength 1a'!CC24,'Strength 1b'!CC24,'Strength IV'!CC24)</f>
        <v>0.4999999999999999</v>
      </c>
      <c r="CF24" s="31">
        <f>MIN('Strength 1a'!CD24,'Strength 1b'!CD24,'Strength IV'!CD24)</f>
        <v>0.5000000000000001</v>
      </c>
      <c r="CG24" s="31">
        <f>MIN('Strength 1a'!CE24,'Strength 1b'!CE24,'Strength IV'!CE24)</f>
        <v>1.5</v>
      </c>
      <c r="CH24" s="31">
        <f>MIN('Strength 1a'!CF24,'Strength 1b'!CF24,'Strength IV'!CF24)</f>
        <v>0.3333333333333334</v>
      </c>
      <c r="CI24" s="31">
        <f>MIN('Strength 1a'!CG24,'Strength 1b'!CG24,'Strength IV'!CG24)</f>
        <v>0.4999999999999999</v>
      </c>
      <c r="CJ24" s="31">
        <f>MIN('Strength 1a'!CH24,'Strength 1b'!CH24,'Strength IV'!CH24)</f>
        <v>0.5000000000000001</v>
      </c>
      <c r="CK24" s="31">
        <f>MIN('Strength 1a'!CI24,'Strength 1b'!CI24,'Strength IV'!CI24)</f>
        <v>1.5</v>
      </c>
      <c r="CL24" s="31">
        <f>MIN('Strength 1a'!CJ24,'Strength 1b'!CJ24,'Strength IV'!CJ24)</f>
        <v>0.3333333333333334</v>
      </c>
    </row>
    <row r="25" spans="1:90" ht="15.75">
      <c r="A25" s="45" t="s">
        <v>61</v>
      </c>
      <c r="B25" s="42">
        <v>15</v>
      </c>
      <c r="C25" s="32">
        <f t="shared" si="0"/>
        <v>38</v>
      </c>
      <c r="D25" s="185">
        <v>36</v>
      </c>
      <c r="E25" s="186">
        <v>2</v>
      </c>
      <c r="F25" s="187">
        <v>27</v>
      </c>
      <c r="G25" s="194" t="str">
        <f t="shared" si="7"/>
        <v>OK</v>
      </c>
      <c r="H25" s="33">
        <f>MIN('Strength 1a'!G25,'Strength 1b'!G25,'Strength IV'!G25)</f>
        <v>2.4842862552063614</v>
      </c>
      <c r="I25" s="33">
        <f>MAX('Strength 1a'!H25,'Strength 1b'!H25,'Strength IV'!H25)</f>
        <v>0.805060204237159</v>
      </c>
      <c r="J25" s="33">
        <f>MIN('Strength 1a'!I25,'Strength 1b'!I25,'Strength IV'!I25)</f>
        <v>1.4315930144191742</v>
      </c>
      <c r="K25" s="33">
        <f>MIN('Strength 1a'!J25,'Strength 1b'!J25,'Strength IV'!J25)</f>
        <v>1.0507584733911963</v>
      </c>
      <c r="L25" s="185">
        <v>0</v>
      </c>
      <c r="M25" s="185">
        <v>200</v>
      </c>
      <c r="N25" s="188">
        <f t="shared" si="1"/>
        <v>0</v>
      </c>
      <c r="O25" s="188">
        <f t="shared" si="2"/>
        <v>1</v>
      </c>
      <c r="P25" s="185">
        <v>0</v>
      </c>
      <c r="Q25" s="185">
        <v>105</v>
      </c>
      <c r="R25" s="185">
        <v>105</v>
      </c>
      <c r="S25" s="185">
        <v>30</v>
      </c>
      <c r="T25" s="185">
        <f t="shared" si="8"/>
        <v>0</v>
      </c>
      <c r="U25" s="185">
        <v>105</v>
      </c>
      <c r="V25" s="185">
        <v>30</v>
      </c>
      <c r="W25" s="185">
        <v>0</v>
      </c>
      <c r="X25" s="185">
        <v>30</v>
      </c>
      <c r="Y25" s="189">
        <v>90</v>
      </c>
      <c r="Z25" s="190" t="s">
        <v>82</v>
      </c>
      <c r="AA25" s="191">
        <v>250</v>
      </c>
      <c r="AB25" s="191">
        <v>250</v>
      </c>
      <c r="AC25" s="47" t="s">
        <v>61</v>
      </c>
      <c r="AD25" s="49">
        <f t="shared" si="3"/>
        <v>0.5</v>
      </c>
      <c r="AG25" s="104" t="s">
        <v>48</v>
      </c>
      <c r="AH25" s="26">
        <f>MAX('Strength 1a'!AG25,'Strength 1b'!AG25,'Strength IV'!AG25)</f>
        <v>8041.664490808122</v>
      </c>
      <c r="AI25" s="44">
        <f>MIN('Strength 1a'!AH25,'Strength 1b'!AH25,'Strength IV'!AH25)</f>
        <v>7690.248348881703</v>
      </c>
      <c r="AJ25" s="26">
        <f>MIN('Strength 1a'!AI25,'Strength 1b'!AI25,'Strength IV'!AI25)</f>
        <v>0</v>
      </c>
      <c r="AK25" s="30">
        <f>MIN('Strength 1a'!AJ25,'Strength 1b'!AJ25,'Strength IV'!AJ25)</f>
        <v>0</v>
      </c>
      <c r="AL25" s="26">
        <f>MIN('Strength 1a'!AK25,'Strength 1b'!AK25,'Strength IV'!AK25)</f>
        <v>107730</v>
      </c>
      <c r="AM25" s="26">
        <f>MIN('Strength 1a'!AL25,'Strength 1b'!AL25,'Strength IV'!AL25)</f>
        <v>0</v>
      </c>
      <c r="AN25" s="26">
        <f>MIN('Strength 1a'!AM25,'Strength 1b'!AM25,'Strength IV'!AM25)</f>
        <v>0</v>
      </c>
      <c r="AO25" s="26">
        <f>MIN('Strength 1a'!AN25,'Strength 1b'!AN25)</f>
        <v>11812.5</v>
      </c>
      <c r="AP25" s="29">
        <f>MIN('Strength 1a'!AO25,'Strength 1b'!AO25,'Strength IV'!AO25)</f>
        <v>0</v>
      </c>
      <c r="AQ25" s="26">
        <f>MIN('Strength 1a'!AP25,'Strength 1b'!AP25,'Strength IV'!AP25)</f>
        <v>25270</v>
      </c>
      <c r="AR25" s="26">
        <f>MIN('Strength 1a'!AQ25,'Strength 1b'!AQ25,'Strength IV'!AQ25)</f>
        <v>0</v>
      </c>
      <c r="AS25" s="26">
        <f>MIN('Strength 1a'!AR25,'Strength 1b'!AR25,'Strength IV'!AR25)</f>
        <v>0</v>
      </c>
      <c r="AT25" s="26">
        <f>MIN('Strength 1a'!AS25,'Strength 1b'!AS25)</f>
        <v>3166.6666666666665</v>
      </c>
      <c r="AU25" s="26">
        <f>MIN('Strength 1a'!AT25,'Strength 1b'!AT25)</f>
        <v>0</v>
      </c>
      <c r="AV25" s="26">
        <f>MIN('Strength 1a'!AU25,'Strength 1b'!AU25)</f>
        <v>0</v>
      </c>
      <c r="AW25" s="26">
        <f>MIN('Strength 1a'!AV25,'Strength 1b'!AV25,'Strength IV'!AV25)</f>
        <v>37905</v>
      </c>
      <c r="AX25" s="26">
        <f>MIN('Strength 1a'!AW25,'Strength 1b'!AW25,'Strength IV'!AW25)</f>
        <v>62197.94449979838</v>
      </c>
      <c r="AY25" s="26">
        <f>MIN('Strength 1a'!AX25,'Strength 1b'!AX25,'Strength IV'!AX25)</f>
        <v>107730</v>
      </c>
      <c r="AZ25" s="26">
        <f>'Strength 1b'!AY25</f>
        <v>157248</v>
      </c>
      <c r="BA25" s="26">
        <f>MIN('Strength 1a'!AZ25,'Strength 1b'!AZ25,'Strength IV'!AZ25)</f>
        <v>1454355</v>
      </c>
      <c r="BB25" s="26">
        <f>'Strength 1b'!BA25</f>
        <v>2122848</v>
      </c>
      <c r="BC25" s="26">
        <f>MAX('Strength 1a'!BB25,'Strength 1b'!BB25,'Strength IV'!BB25)</f>
        <v>585421.6666666666</v>
      </c>
      <c r="BD25" s="26">
        <f>'Strength 1b'!BB25</f>
        <v>585421.6666666666</v>
      </c>
      <c r="BE25" s="30">
        <f>MAX('Strength 1a'!BC25,'Strength 1b'!BC25,'Strength IV'!BC25)</f>
        <v>5.434156378600823</v>
      </c>
      <c r="BF25" s="30">
        <f>'Strength 1b'!BD25</f>
        <v>3.7229196343779662</v>
      </c>
      <c r="BG25" s="30">
        <f>'Strength 1b'!BE25</f>
        <v>19.554160731244068</v>
      </c>
      <c r="BH25" s="30">
        <f>MIN('Strength 1a'!BF25,'Strength 1b'!BF25,'Strength IV'!BF25)</f>
        <v>6.75</v>
      </c>
      <c r="BI25" s="30">
        <f>MIN('Strength 1a'!BG25,'Strength 1b'!BG25,'Strength IV'!BG25)</f>
        <v>30.139627791519086</v>
      </c>
      <c r="BJ25" s="30">
        <f>MIN('Strength 1a'!BH25,'Strength 1b'!BH25,'Strength IV'!BH25)</f>
        <v>18.401122218708668</v>
      </c>
      <c r="BK25" s="30">
        <f>MIN('Strength 1a'!BI25,'Strength 1b'!BI25,'Strength IV'!BI25)</f>
        <v>22.402486271104557</v>
      </c>
      <c r="BL25" s="29">
        <f>MIN('Strength 1a'!BJ25,'Strength 1b'!BJ25,'Strength IV'!BJ25)</f>
        <v>0</v>
      </c>
      <c r="BM25" s="31">
        <f>MIN('Strength 1a'!BK25,'Strength 1b'!BK25,'Strength IV'!BK25)</f>
        <v>0.3333333333333333</v>
      </c>
      <c r="BN25" s="29">
        <f>MIN('Strength 1a'!BL25,'Strength 1b'!BL25,'Strength IV'!BL25)</f>
        <v>0</v>
      </c>
      <c r="BO25" s="31">
        <f>MIN('Strength 1a'!BM25,'Strength 1b'!BM25,'Strength IV'!BM25)</f>
        <v>0</v>
      </c>
      <c r="BP25" s="29">
        <f>MIN('Strength 1a'!BN25,'Strength 1b'!BN25,'Strength IV'!BN25)</f>
        <v>0</v>
      </c>
      <c r="BQ25" s="31">
        <f>MIN('Strength 1a'!BO25,'Strength 1b'!BO25,'Strength IV'!BO25)</f>
        <v>0</v>
      </c>
      <c r="BR25" s="192">
        <f t="shared" si="4"/>
        <v>0.017453292519943295</v>
      </c>
      <c r="BS25" s="192">
        <f t="shared" si="5"/>
        <v>0.5773502691896257</v>
      </c>
      <c r="BT25" s="192">
        <f t="shared" si="6"/>
        <v>0</v>
      </c>
      <c r="BU25" s="3" t="s">
        <v>1</v>
      </c>
      <c r="BV25" s="193">
        <f t="shared" si="9"/>
        <v>13</v>
      </c>
      <c r="BW25" s="30">
        <f>MIN('Strength 1a'!BU25,'Strength 1b'!BU25,'Strength IV'!BU25)</f>
        <v>0</v>
      </c>
      <c r="BX25" s="31">
        <f>MIN('Strength 1a'!BV25,'Strength 1b'!BV25,'Strength IV'!BV25)</f>
        <v>0</v>
      </c>
      <c r="BY25" s="31">
        <f>MIN('Strength 1a'!BW25,'Strength 1b'!BW25,'Strength IV'!BW25)</f>
        <v>1</v>
      </c>
      <c r="BZ25" s="31">
        <f>MIN('Strength 1a'!BX25,'Strength 1b'!BX25,'Strength IV'!BX25)</f>
        <v>1</v>
      </c>
      <c r="CA25" s="31">
        <f>MIN('Strength 1a'!BY25,'Strength 1b'!BY25,'Strength IV'!BY25)</f>
        <v>0.7500000000000001</v>
      </c>
      <c r="CB25" s="31">
        <f>MIN('Strength 1a'!BZ25,'Strength 1b'!BZ25,'Strength IV'!BZ25)</f>
        <v>1</v>
      </c>
      <c r="CC25" s="31">
        <f>MIN('Strength 1a'!CA25,'Strength 1b'!CA25,'Strength IV'!CA25)</f>
        <v>1</v>
      </c>
      <c r="CD25" s="31">
        <f>MIN('Strength 1a'!CB25,'Strength 1b'!CB25,'Strength IV'!CB25)</f>
        <v>0</v>
      </c>
      <c r="CE25" s="31">
        <f>MIN('Strength 1a'!CC25,'Strength 1b'!CC25,'Strength IV'!CC25)</f>
        <v>0.4999999999999999</v>
      </c>
      <c r="CF25" s="31">
        <f>MIN('Strength 1a'!CD25,'Strength 1b'!CD25,'Strength IV'!CD25)</f>
        <v>0.5000000000000001</v>
      </c>
      <c r="CG25" s="31">
        <f>MIN('Strength 1a'!CE25,'Strength 1b'!CE25,'Strength IV'!CE25)</f>
        <v>1.5</v>
      </c>
      <c r="CH25" s="31">
        <f>MIN('Strength 1a'!CF25,'Strength 1b'!CF25,'Strength IV'!CF25)</f>
        <v>0.3333333333333334</v>
      </c>
      <c r="CI25" s="31">
        <f>MIN('Strength 1a'!CG25,'Strength 1b'!CG25,'Strength IV'!CG25)</f>
        <v>0.4999999999999999</v>
      </c>
      <c r="CJ25" s="31">
        <f>MIN('Strength 1a'!CH25,'Strength 1b'!CH25,'Strength IV'!CH25)</f>
        <v>0.5000000000000001</v>
      </c>
      <c r="CK25" s="31">
        <f>MIN('Strength 1a'!CI25,'Strength 1b'!CI25,'Strength IV'!CI25)</f>
        <v>1.5</v>
      </c>
      <c r="CL25" s="31">
        <f>MIN('Strength 1a'!CJ25,'Strength 1b'!CJ25,'Strength IV'!CJ25)</f>
        <v>0.3333333333333334</v>
      </c>
    </row>
    <row r="26" spans="1:90" ht="15.75">
      <c r="A26" s="45" t="s">
        <v>61</v>
      </c>
      <c r="B26" s="42">
        <v>16</v>
      </c>
      <c r="C26" s="32">
        <f t="shared" si="0"/>
        <v>40</v>
      </c>
      <c r="D26" s="185">
        <v>38</v>
      </c>
      <c r="E26" s="186">
        <v>2</v>
      </c>
      <c r="F26" s="187">
        <v>28</v>
      </c>
      <c r="G26" s="194" t="str">
        <f t="shared" si="7"/>
        <v>OK</v>
      </c>
      <c r="H26" s="33">
        <f>MIN('Strength 1a'!G26,'Strength 1b'!G26,'Strength IV'!G26)</f>
        <v>2.4331034482758622</v>
      </c>
      <c r="I26" s="33">
        <f>MAX('Strength 1a'!H26,'Strength 1b'!H26,'Strength IV'!H26)</f>
        <v>0.8219954648526075</v>
      </c>
      <c r="J26" s="33">
        <f>MIN('Strength 1a'!I26,'Strength 1b'!I26,'Strength IV'!I26)</f>
        <v>1.4194367593735187</v>
      </c>
      <c r="K26" s="33">
        <f>MIN('Strength 1a'!J26,'Strength 1b'!J26,'Strength IV'!J26)</f>
        <v>1.0127025301805794</v>
      </c>
      <c r="L26" s="185">
        <v>0</v>
      </c>
      <c r="M26" s="185">
        <v>200</v>
      </c>
      <c r="N26" s="188">
        <f t="shared" si="1"/>
        <v>0</v>
      </c>
      <c r="O26" s="188">
        <f t="shared" si="2"/>
        <v>1</v>
      </c>
      <c r="P26" s="185">
        <v>0</v>
      </c>
      <c r="Q26" s="185">
        <v>105</v>
      </c>
      <c r="R26" s="185">
        <v>105</v>
      </c>
      <c r="S26" s="185">
        <v>30</v>
      </c>
      <c r="T26" s="185">
        <f t="shared" si="8"/>
        <v>0</v>
      </c>
      <c r="U26" s="185">
        <v>105</v>
      </c>
      <c r="V26" s="185">
        <v>30</v>
      </c>
      <c r="W26" s="185">
        <v>0</v>
      </c>
      <c r="X26" s="185">
        <v>30</v>
      </c>
      <c r="Y26" s="189">
        <v>90</v>
      </c>
      <c r="Z26" s="190" t="s">
        <v>82</v>
      </c>
      <c r="AA26" s="191">
        <v>250</v>
      </c>
      <c r="AB26" s="191">
        <v>250</v>
      </c>
      <c r="AC26" s="47" t="s">
        <v>61</v>
      </c>
      <c r="AD26" s="49">
        <f t="shared" si="3"/>
        <v>0.5</v>
      </c>
      <c r="AG26" s="104" t="s">
        <v>41</v>
      </c>
      <c r="AH26" s="26">
        <f>MAX('Strength 1a'!AG26,'Strength 1b'!AG26,'Strength IV'!AG26)</f>
        <v>8513.791606662498</v>
      </c>
      <c r="AI26" s="44">
        <f>MIN('Strength 1a'!AH26,'Strength 1b'!AH26,'Strength IV'!AH26)</f>
        <v>7810.594540183948</v>
      </c>
      <c r="AJ26" s="26">
        <f>MIN('Strength 1a'!AI26,'Strength 1b'!AI26,'Strength IV'!AI26)</f>
        <v>0</v>
      </c>
      <c r="AK26" s="30">
        <f>MIN('Strength 1a'!AJ26,'Strength 1b'!AJ26,'Strength IV'!AJ26)</f>
        <v>0</v>
      </c>
      <c r="AL26" s="26">
        <f>MIN('Strength 1a'!AK26,'Strength 1b'!AK26,'Strength IV'!AK26)</f>
        <v>117600</v>
      </c>
      <c r="AM26" s="26">
        <f>MIN('Strength 1a'!AL26,'Strength 1b'!AL26,'Strength IV'!AL26)</f>
        <v>0</v>
      </c>
      <c r="AN26" s="26">
        <f>MIN('Strength 1a'!AM26,'Strength 1b'!AM26,'Strength IV'!AM26)</f>
        <v>0</v>
      </c>
      <c r="AO26" s="26">
        <f>MIN('Strength 1a'!AN26,'Strength 1b'!AN26)</f>
        <v>12250</v>
      </c>
      <c r="AP26" s="29">
        <f>MIN('Strength 1a'!AO26,'Strength 1b'!AO26,'Strength IV'!AO26)</f>
        <v>0</v>
      </c>
      <c r="AQ26" s="26">
        <f>MIN('Strength 1a'!AP26,'Strength 1b'!AP26,'Strength IV'!AP26)</f>
        <v>28000</v>
      </c>
      <c r="AR26" s="26">
        <f>MIN('Strength 1a'!AQ26,'Strength 1b'!AQ26,'Strength IV'!AQ26)</f>
        <v>0</v>
      </c>
      <c r="AS26" s="26">
        <f>MIN('Strength 1a'!AR26,'Strength 1b'!AR26,'Strength IV'!AR26)</f>
        <v>0</v>
      </c>
      <c r="AT26" s="26">
        <f>MIN('Strength 1a'!AS26,'Strength 1b'!AS26)</f>
        <v>3333.333333333333</v>
      </c>
      <c r="AU26" s="26">
        <f>MIN('Strength 1a'!AT26,'Strength 1b'!AT26)</f>
        <v>0</v>
      </c>
      <c r="AV26" s="26">
        <f>MIN('Strength 1a'!AU26,'Strength 1b'!AU26)</f>
        <v>0</v>
      </c>
      <c r="AW26" s="26">
        <f>MIN('Strength 1a'!AV26,'Strength 1b'!AV26,'Strength IV'!AV26)</f>
        <v>42000</v>
      </c>
      <c r="AX26" s="26">
        <f>MIN('Strength 1a'!AW26,'Strength 1b'!AW26,'Strength IV'!AW26)</f>
        <v>67896.39165669998</v>
      </c>
      <c r="AY26" s="26">
        <f>MIN('Strength 1a'!AX26,'Strength 1b'!AX26,'Strength IV'!AX26)</f>
        <v>117600</v>
      </c>
      <c r="AZ26" s="26">
        <f>'Strength 1b'!AY26</f>
        <v>171010</v>
      </c>
      <c r="BA26" s="26">
        <f>MIN('Strength 1a'!AZ26,'Strength 1b'!AZ26,'Strength IV'!AZ26)</f>
        <v>1646400</v>
      </c>
      <c r="BB26" s="26">
        <f>'Strength 1b'!BA26</f>
        <v>2394140</v>
      </c>
      <c r="BC26" s="26">
        <f>MAX('Strength 1a'!BB26,'Strength 1b'!BB26,'Strength IV'!BB26)</f>
        <v>676666.6666666666</v>
      </c>
      <c r="BD26" s="26">
        <f>'Strength 1b'!BB26</f>
        <v>676666.6666666666</v>
      </c>
      <c r="BE26" s="30">
        <f>MAX('Strength 1a'!BC26,'Strength 1b'!BC26,'Strength IV'!BC26)</f>
        <v>5.753968253968253</v>
      </c>
      <c r="BF26" s="30">
        <f>'Strength 1b'!BD26</f>
        <v>3.95688361304407</v>
      </c>
      <c r="BG26" s="30">
        <f>'Strength 1b'!BE26</f>
        <v>20.08623277391186</v>
      </c>
      <c r="BH26" s="30">
        <f>MIN('Strength 1a'!BF26,'Strength 1b'!BF26,'Strength IV'!BF26)</f>
        <v>7</v>
      </c>
      <c r="BI26" s="30">
        <f>MIN('Strength 1a'!BG26,'Strength 1b'!BG26,'Strength IV'!BG26)</f>
        <v>30.139627791519086</v>
      </c>
      <c r="BJ26" s="30">
        <f>MIN('Strength 1a'!BH26,'Strength 1b'!BH26,'Strength IV'!BH26)</f>
        <v>18.401122218708668</v>
      </c>
      <c r="BK26" s="30">
        <f>MIN('Strength 1a'!BI26,'Strength 1b'!BI26,'Strength IV'!BI26)</f>
        <v>22.402486271104557</v>
      </c>
      <c r="BL26" s="29">
        <f>MIN('Strength 1a'!BJ26,'Strength 1b'!BJ26,'Strength IV'!BJ26)</f>
        <v>0</v>
      </c>
      <c r="BM26" s="31">
        <f>MIN('Strength 1a'!BK26,'Strength 1b'!BK26,'Strength IV'!BK26)</f>
        <v>0.3333333333333333</v>
      </c>
      <c r="BN26" s="29">
        <f>MIN('Strength 1a'!BL26,'Strength 1b'!BL26,'Strength IV'!BL26)</f>
        <v>0</v>
      </c>
      <c r="BO26" s="31">
        <f>MIN('Strength 1a'!BM26,'Strength 1b'!BM26,'Strength IV'!BM26)</f>
        <v>0</v>
      </c>
      <c r="BP26" s="29">
        <f>MIN('Strength 1a'!BN26,'Strength 1b'!BN26,'Strength IV'!BN26)</f>
        <v>0</v>
      </c>
      <c r="BQ26" s="31">
        <f>MIN('Strength 1a'!BO26,'Strength 1b'!BO26,'Strength IV'!BO26)</f>
        <v>0</v>
      </c>
      <c r="BR26" s="235">
        <f t="shared" si="4"/>
        <v>0.017453292519943295</v>
      </c>
      <c r="BS26" s="235">
        <f t="shared" si="5"/>
        <v>0.5773502691896257</v>
      </c>
      <c r="BT26" s="235">
        <f t="shared" si="6"/>
        <v>0</v>
      </c>
      <c r="BU26" s="204" t="s">
        <v>1</v>
      </c>
      <c r="BV26" s="193">
        <f t="shared" si="9"/>
        <v>14</v>
      </c>
      <c r="BW26" s="30">
        <f>MIN('Strength 1a'!BU26,'Strength 1b'!BU26,'Strength IV'!BU26)</f>
        <v>0</v>
      </c>
      <c r="BX26" s="31">
        <f>MIN('Strength 1a'!BV26,'Strength 1b'!BV26,'Strength IV'!BV26)</f>
        <v>0</v>
      </c>
      <c r="BY26" s="31">
        <f>MIN('Strength 1a'!BW26,'Strength 1b'!BW26,'Strength IV'!BW26)</f>
        <v>1</v>
      </c>
      <c r="BZ26" s="31">
        <f>MIN('Strength 1a'!BX26,'Strength 1b'!BX26,'Strength IV'!BX26)</f>
        <v>1</v>
      </c>
      <c r="CA26" s="31">
        <f>MIN('Strength 1a'!BY26,'Strength 1b'!BY26,'Strength IV'!BY26)</f>
        <v>0.7500000000000001</v>
      </c>
      <c r="CB26" s="31">
        <f>MIN('Strength 1a'!BZ26,'Strength 1b'!BZ26,'Strength IV'!BZ26)</f>
        <v>1</v>
      </c>
      <c r="CC26" s="31">
        <f>MIN('Strength 1a'!CA26,'Strength 1b'!CA26,'Strength IV'!CA26)</f>
        <v>1</v>
      </c>
      <c r="CD26" s="31">
        <f>MIN('Strength 1a'!CB26,'Strength 1b'!CB26,'Strength IV'!CB26)</f>
        <v>0</v>
      </c>
      <c r="CE26" s="31">
        <f>MIN('Strength 1a'!CC26,'Strength 1b'!CC26,'Strength IV'!CC26)</f>
        <v>0.4999999999999999</v>
      </c>
      <c r="CF26" s="31">
        <f>MIN('Strength 1a'!CD26,'Strength 1b'!CD26,'Strength IV'!CD26)</f>
        <v>0.5000000000000001</v>
      </c>
      <c r="CG26" s="31">
        <f>MIN('Strength 1a'!CE26,'Strength 1b'!CE26,'Strength IV'!CE26)</f>
        <v>1.5</v>
      </c>
      <c r="CH26" s="31">
        <f>MIN('Strength 1a'!CF26,'Strength 1b'!CF26,'Strength IV'!CF26)</f>
        <v>0.3333333333333334</v>
      </c>
      <c r="CI26" s="31">
        <f>MIN('Strength 1a'!CG26,'Strength 1b'!CG26,'Strength IV'!CG26)</f>
        <v>0.4999999999999999</v>
      </c>
      <c r="CJ26" s="31">
        <f>MIN('Strength 1a'!CH26,'Strength 1b'!CH26,'Strength IV'!CH26)</f>
        <v>0.5000000000000001</v>
      </c>
      <c r="CK26" s="31">
        <f>MIN('Strength 1a'!CI26,'Strength 1b'!CI26,'Strength IV'!CI26)</f>
        <v>1.5</v>
      </c>
      <c r="CL26" s="31">
        <f>MIN('Strength 1a'!CJ26,'Strength 1b'!CJ26,'Strength IV'!CJ26)</f>
        <v>0.3333333333333334</v>
      </c>
    </row>
    <row r="27" spans="1:90" ht="15.75">
      <c r="A27" s="45" t="s">
        <v>61</v>
      </c>
      <c r="B27" s="42">
        <v>17</v>
      </c>
      <c r="C27" s="32">
        <f t="shared" si="0"/>
        <v>42</v>
      </c>
      <c r="D27" s="185">
        <v>40</v>
      </c>
      <c r="E27" s="186">
        <v>2</v>
      </c>
      <c r="F27" s="187">
        <v>30</v>
      </c>
      <c r="G27" s="194" t="str">
        <f t="shared" si="7"/>
        <v>OK</v>
      </c>
      <c r="H27" s="33">
        <f>MIN('Strength 1a'!G27,'Strength 1b'!G27,'Strength IV'!G27)</f>
        <v>2.554399243140965</v>
      </c>
      <c r="I27" s="33">
        <f>MAX('Strength 1a'!H27,'Strength 1b'!H27,'Strength IV'!H27)</f>
        <v>0.7829629629629629</v>
      </c>
      <c r="J27" s="33">
        <f>MIN('Strength 1a'!I27,'Strength 1b'!I27,'Strength IV'!I27)</f>
        <v>1.45686516524485</v>
      </c>
      <c r="K27" s="33">
        <f>MIN('Strength 1a'!J27,'Strength 1b'!J27,'Strength IV'!J27)</f>
        <v>1.051487977650921</v>
      </c>
      <c r="L27" s="185">
        <v>0</v>
      </c>
      <c r="M27" s="185">
        <v>200</v>
      </c>
      <c r="N27" s="188">
        <f t="shared" si="1"/>
        <v>0</v>
      </c>
      <c r="O27" s="188">
        <f t="shared" si="2"/>
        <v>1</v>
      </c>
      <c r="P27" s="185">
        <v>0</v>
      </c>
      <c r="Q27" s="185">
        <v>105</v>
      </c>
      <c r="R27" s="185">
        <v>105</v>
      </c>
      <c r="S27" s="185">
        <v>30</v>
      </c>
      <c r="T27" s="185">
        <f t="shared" si="8"/>
        <v>0</v>
      </c>
      <c r="U27" s="185">
        <v>105</v>
      </c>
      <c r="V27" s="185">
        <v>30</v>
      </c>
      <c r="W27" s="185">
        <v>0</v>
      </c>
      <c r="X27" s="185">
        <v>30</v>
      </c>
      <c r="Y27" s="189">
        <v>90</v>
      </c>
      <c r="Z27" s="190" t="s">
        <v>82</v>
      </c>
      <c r="AA27" s="191">
        <v>250</v>
      </c>
      <c r="AB27" s="191">
        <v>250</v>
      </c>
      <c r="AC27" s="47" t="s">
        <v>61</v>
      </c>
      <c r="AD27" s="49">
        <f t="shared" si="3"/>
        <v>0.5</v>
      </c>
      <c r="AG27" s="104" t="s">
        <v>49</v>
      </c>
      <c r="AH27" s="26">
        <f>MAX('Strength 1a'!AG27,'Strength 1b'!AG27,'Strength IV'!AG27)</f>
        <v>8756.414886699014</v>
      </c>
      <c r="AI27" s="44">
        <f>MIN('Strength 1a'!AH27,'Strength 1b'!AH27,'Strength IV'!AH27)</f>
        <v>8372.663246196777</v>
      </c>
      <c r="AJ27" s="26">
        <f>MIN('Strength 1a'!AI27,'Strength 1b'!AI27,'Strength IV'!AI27)</f>
        <v>0</v>
      </c>
      <c r="AK27" s="30">
        <f>MIN('Strength 1a'!AJ27,'Strength 1b'!AJ27,'Strength IV'!AJ27)</f>
        <v>0</v>
      </c>
      <c r="AL27" s="26">
        <f>MIN('Strength 1a'!AK27,'Strength 1b'!AK27,'Strength IV'!AK27)</f>
        <v>132300</v>
      </c>
      <c r="AM27" s="26">
        <f>MIN('Strength 1a'!AL27,'Strength 1b'!AL27,'Strength IV'!AL27)</f>
        <v>0</v>
      </c>
      <c r="AN27" s="26">
        <f>MIN('Strength 1a'!AM27,'Strength 1b'!AM27,'Strength IV'!AM27)</f>
        <v>0</v>
      </c>
      <c r="AO27" s="26">
        <f>MIN('Strength 1a'!AN27,'Strength 1b'!AN27)</f>
        <v>13125</v>
      </c>
      <c r="AP27" s="29">
        <f>MIN('Strength 1a'!AO27,'Strength 1b'!AO27,'Strength IV'!AO27)</f>
        <v>0</v>
      </c>
      <c r="AQ27" s="26">
        <f>MIN('Strength 1a'!AP27,'Strength 1b'!AP27,'Strength IV'!AP27)</f>
        <v>30870</v>
      </c>
      <c r="AR27" s="26">
        <f>MIN('Strength 1a'!AQ27,'Strength 1b'!AQ27,'Strength IV'!AQ27)</f>
        <v>0</v>
      </c>
      <c r="AS27" s="26">
        <f>MIN('Strength 1a'!AR27,'Strength 1b'!AR27,'Strength IV'!AR27)</f>
        <v>0</v>
      </c>
      <c r="AT27" s="26">
        <f>MIN('Strength 1a'!AS27,'Strength 1b'!AS27)</f>
        <v>3500</v>
      </c>
      <c r="AU27" s="26">
        <f>MIN('Strength 1a'!AT27,'Strength 1b'!AT27)</f>
        <v>0</v>
      </c>
      <c r="AV27" s="26">
        <f>MIN('Strength 1a'!AU27,'Strength 1b'!AU27)</f>
        <v>0</v>
      </c>
      <c r="AW27" s="26">
        <f>MIN('Strength 1a'!AV27,'Strength 1b'!AV27,'Strength IV'!AV27)</f>
        <v>46305</v>
      </c>
      <c r="AX27" s="26">
        <f>MIN('Strength 1a'!AW27,'Strength 1b'!AW27,'Strength IV'!AW27)</f>
        <v>76383.44061378749</v>
      </c>
      <c r="AY27" s="26">
        <f>MIN('Strength 1a'!AX27,'Strength 1b'!AX27,'Strength IV'!AX27)</f>
        <v>132300</v>
      </c>
      <c r="AZ27" s="26">
        <f>'Strength 1b'!AY27</f>
        <v>191730</v>
      </c>
      <c r="BA27" s="26">
        <f>MIN('Strength 1a'!AZ27,'Strength 1b'!AZ27,'Strength IV'!AZ27)</f>
        <v>1984500</v>
      </c>
      <c r="BB27" s="26">
        <f>'Strength 1b'!BA27</f>
        <v>2875950</v>
      </c>
      <c r="BC27" s="26">
        <f>MAX('Strength 1a'!BB27,'Strength 1b'!BB27,'Strength IV'!BB27)</f>
        <v>776895</v>
      </c>
      <c r="BD27" s="26">
        <f>'Strength 1b'!BB27</f>
        <v>776895</v>
      </c>
      <c r="BE27" s="30">
        <f>MAX('Strength 1a'!BC27,'Strength 1b'!BC27,'Strength IV'!BC27)</f>
        <v>5.872222222222222</v>
      </c>
      <c r="BF27" s="30">
        <f>'Strength 1b'!BD27</f>
        <v>4.052026286966045</v>
      </c>
      <c r="BG27" s="30">
        <f>'Strength 1b'!BE27</f>
        <v>21.89594742606791</v>
      </c>
      <c r="BH27" s="30">
        <f>MIN('Strength 1a'!BF27,'Strength 1b'!BF27,'Strength IV'!BF27)</f>
        <v>7.5</v>
      </c>
      <c r="BI27" s="30">
        <f>MIN('Strength 1a'!BG27,'Strength 1b'!BG27,'Strength IV'!BG27)</f>
        <v>30.139627791519086</v>
      </c>
      <c r="BJ27" s="30">
        <f>MIN('Strength 1a'!BH27,'Strength 1b'!BH27,'Strength IV'!BH27)</f>
        <v>18.401122218708668</v>
      </c>
      <c r="BK27" s="30">
        <f>MIN('Strength 1a'!BI27,'Strength 1b'!BI27,'Strength IV'!BI27)</f>
        <v>22.402486271104557</v>
      </c>
      <c r="BL27" s="29">
        <f>MIN('Strength 1a'!BJ27,'Strength 1b'!BJ27,'Strength IV'!BJ27)</f>
        <v>0</v>
      </c>
      <c r="BM27" s="31">
        <f>MIN('Strength 1a'!BK27,'Strength 1b'!BK27,'Strength IV'!BK27)</f>
        <v>0.3333333333333333</v>
      </c>
      <c r="BN27" s="29">
        <f>MIN('Strength 1a'!BL27,'Strength 1b'!BL27,'Strength IV'!BL27)</f>
        <v>0</v>
      </c>
      <c r="BO27" s="31">
        <f>MIN('Strength 1a'!BM27,'Strength 1b'!BM27,'Strength IV'!BM27)</f>
        <v>0</v>
      </c>
      <c r="BP27" s="29">
        <f>MIN('Strength 1a'!BN27,'Strength 1b'!BN27,'Strength IV'!BN27)</f>
        <v>0</v>
      </c>
      <c r="BQ27" s="31">
        <f>MIN('Strength 1a'!BO27,'Strength 1b'!BO27,'Strength IV'!BO27)</f>
        <v>0</v>
      </c>
      <c r="BR27" s="235">
        <f t="shared" si="4"/>
        <v>0.017453292519943295</v>
      </c>
      <c r="BS27" s="235">
        <f t="shared" si="5"/>
        <v>0.5773502691896257</v>
      </c>
      <c r="BT27" s="235">
        <f t="shared" si="6"/>
        <v>0</v>
      </c>
      <c r="BU27" s="204" t="s">
        <v>1</v>
      </c>
      <c r="BV27" s="193">
        <f t="shared" si="9"/>
        <v>15</v>
      </c>
      <c r="BW27" s="30">
        <f>MIN('Strength 1a'!BU27,'Strength 1b'!BU27,'Strength IV'!BU27)</f>
        <v>0</v>
      </c>
      <c r="BX27" s="31">
        <f>MIN('Strength 1a'!BV27,'Strength 1b'!BV27,'Strength IV'!BV27)</f>
        <v>0</v>
      </c>
      <c r="BY27" s="31">
        <f>MIN('Strength 1a'!BW27,'Strength 1b'!BW27,'Strength IV'!BW27)</f>
        <v>1</v>
      </c>
      <c r="BZ27" s="31">
        <f>MIN('Strength 1a'!BX27,'Strength 1b'!BX27,'Strength IV'!BX27)</f>
        <v>1</v>
      </c>
      <c r="CA27" s="31">
        <f>MIN('Strength 1a'!BY27,'Strength 1b'!BY27,'Strength IV'!BY27)</f>
        <v>0.7500000000000001</v>
      </c>
      <c r="CB27" s="31">
        <f>MIN('Strength 1a'!BZ27,'Strength 1b'!BZ27,'Strength IV'!BZ27)</f>
        <v>1</v>
      </c>
      <c r="CC27" s="31">
        <f>MIN('Strength 1a'!CA27,'Strength 1b'!CA27,'Strength IV'!CA27)</f>
        <v>1</v>
      </c>
      <c r="CD27" s="31">
        <f>MIN('Strength 1a'!CB27,'Strength 1b'!CB27,'Strength IV'!CB27)</f>
        <v>0</v>
      </c>
      <c r="CE27" s="31">
        <f>MIN('Strength 1a'!CC27,'Strength 1b'!CC27,'Strength IV'!CC27)</f>
        <v>0.4999999999999999</v>
      </c>
      <c r="CF27" s="31">
        <f>MIN('Strength 1a'!CD27,'Strength 1b'!CD27,'Strength IV'!CD27)</f>
        <v>0.5000000000000001</v>
      </c>
      <c r="CG27" s="31">
        <f>MIN('Strength 1a'!CE27,'Strength 1b'!CE27,'Strength IV'!CE27)</f>
        <v>1.5</v>
      </c>
      <c r="CH27" s="31">
        <f>MIN('Strength 1a'!CF27,'Strength 1b'!CF27,'Strength IV'!CF27)</f>
        <v>0.3333333333333334</v>
      </c>
      <c r="CI27" s="31">
        <f>MIN('Strength 1a'!CG27,'Strength 1b'!CG27,'Strength IV'!CG27)</f>
        <v>0.4999999999999999</v>
      </c>
      <c r="CJ27" s="31">
        <f>MIN('Strength 1a'!CH27,'Strength 1b'!CH27,'Strength IV'!CH27)</f>
        <v>0.5000000000000001</v>
      </c>
      <c r="CK27" s="31">
        <f>MIN('Strength 1a'!CI27,'Strength 1b'!CI27,'Strength IV'!CI27)</f>
        <v>1.5</v>
      </c>
      <c r="CL27" s="31">
        <f>MIN('Strength 1a'!CJ27,'Strength 1b'!CJ27,'Strength IV'!CJ27)</f>
        <v>0.3333333333333334</v>
      </c>
    </row>
    <row r="28" spans="1:90" ht="15.75">
      <c r="A28" s="45" t="s">
        <v>61</v>
      </c>
      <c r="B28" s="42">
        <v>18</v>
      </c>
      <c r="C28" s="32">
        <f t="shared" si="0"/>
        <v>44</v>
      </c>
      <c r="D28" s="185">
        <v>42</v>
      </c>
      <c r="E28" s="186">
        <v>2</v>
      </c>
      <c r="F28" s="187">
        <v>31</v>
      </c>
      <c r="G28" s="194" t="str">
        <f t="shared" si="7"/>
        <v>OK</v>
      </c>
      <c r="H28" s="33">
        <f>MIN('Strength 1a'!G28,'Strength 1b'!G28,'Strength IV'!G28)</f>
        <v>2.5040532715691954</v>
      </c>
      <c r="I28" s="33">
        <f>MAX('Strength 1a'!H28,'Strength 1b'!H28,'Strength IV'!H28)</f>
        <v>0.7987050526072376</v>
      </c>
      <c r="J28" s="33">
        <f>MIN('Strength 1a'!I28,'Strength 1b'!I28,'Strength IV'!I28)</f>
        <v>1.444670180304086</v>
      </c>
      <c r="K28" s="33">
        <f>MIN('Strength 1a'!J28,'Strength 1b'!J28,'Strength IV'!J28)</f>
        <v>1.0169000343962176</v>
      </c>
      <c r="L28" s="185">
        <v>0</v>
      </c>
      <c r="M28" s="185">
        <v>200</v>
      </c>
      <c r="N28" s="188">
        <f t="shared" si="1"/>
        <v>0</v>
      </c>
      <c r="O28" s="188">
        <f t="shared" si="2"/>
        <v>1</v>
      </c>
      <c r="P28" s="185">
        <v>0</v>
      </c>
      <c r="Q28" s="185">
        <v>105</v>
      </c>
      <c r="R28" s="185">
        <v>105</v>
      </c>
      <c r="S28" s="185">
        <v>30</v>
      </c>
      <c r="T28" s="185">
        <f t="shared" si="8"/>
        <v>0</v>
      </c>
      <c r="U28" s="185">
        <v>105</v>
      </c>
      <c r="V28" s="185">
        <v>30</v>
      </c>
      <c r="W28" s="185">
        <v>0</v>
      </c>
      <c r="X28" s="185">
        <v>30</v>
      </c>
      <c r="Y28" s="189">
        <v>90</v>
      </c>
      <c r="Z28" s="190" t="s">
        <v>82</v>
      </c>
      <c r="AA28" s="191">
        <v>250</v>
      </c>
      <c r="AB28" s="191">
        <v>250</v>
      </c>
      <c r="AC28" s="47" t="s">
        <v>61</v>
      </c>
      <c r="AD28" s="49">
        <f t="shared" si="3"/>
        <v>0.5</v>
      </c>
      <c r="AE28" s="146"/>
      <c r="AG28" s="104" t="s">
        <v>41</v>
      </c>
      <c r="AH28" s="26">
        <f>MAX('Strength 1a'!AG28,'Strength 1b'!AG28,'Strength IV'!AG28)</f>
        <v>9224.356608182607</v>
      </c>
      <c r="AI28" s="44">
        <f>MIN('Strength 1a'!AH28,'Strength 1b'!AH28,'Strength IV'!AH28)</f>
        <v>8494.105751083222</v>
      </c>
      <c r="AJ28" s="26">
        <f>MIN('Strength 1a'!AI28,'Strength 1b'!AI28,'Strength IV'!AI28)</f>
        <v>0</v>
      </c>
      <c r="AK28" s="30">
        <f>MIN('Strength 1a'!AJ28,'Strength 1b'!AJ28,'Strength IV'!AJ28)</f>
        <v>0</v>
      </c>
      <c r="AL28" s="26">
        <f>MIN('Strength 1a'!AK28,'Strength 1b'!AK28,'Strength IV'!AK28)</f>
        <v>143220</v>
      </c>
      <c r="AM28" s="26">
        <f>MIN('Strength 1a'!AL28,'Strength 1b'!AL28,'Strength IV'!AL28)</f>
        <v>0</v>
      </c>
      <c r="AN28" s="26">
        <f>MIN('Strength 1a'!AM28,'Strength 1b'!AM28,'Strength IV'!AM28)</f>
        <v>0</v>
      </c>
      <c r="AO28" s="26">
        <f>MIN('Strength 1a'!AN28,'Strength 1b'!AN28)</f>
        <v>13562.5</v>
      </c>
      <c r="AP28" s="29">
        <f>MIN('Strength 1a'!AO28,'Strength 1b'!AO28,'Strength IV'!AO28)</f>
        <v>0</v>
      </c>
      <c r="AQ28" s="26">
        <f>MIN('Strength 1a'!AP28,'Strength 1b'!AP28,'Strength IV'!AP28)</f>
        <v>33880</v>
      </c>
      <c r="AR28" s="26">
        <f>MIN('Strength 1a'!AQ28,'Strength 1b'!AQ28,'Strength IV'!AQ28)</f>
        <v>0</v>
      </c>
      <c r="AS28" s="26">
        <f>MIN('Strength 1a'!AR28,'Strength 1b'!AR28,'Strength IV'!AR28)</f>
        <v>0</v>
      </c>
      <c r="AT28" s="26">
        <f>MIN('Strength 1a'!AS28,'Strength 1b'!AS28)</f>
        <v>3666.6666666666665</v>
      </c>
      <c r="AU28" s="26">
        <f>MIN('Strength 1a'!AT28,'Strength 1b'!AT28)</f>
        <v>0</v>
      </c>
      <c r="AV28" s="26">
        <f>MIN('Strength 1a'!AU28,'Strength 1b'!AU28)</f>
        <v>0</v>
      </c>
      <c r="AW28" s="26">
        <f>MIN('Strength 1a'!AV28,'Strength 1b'!AV28,'Strength IV'!AV28)</f>
        <v>50820</v>
      </c>
      <c r="AX28" s="26">
        <f>MIN('Strength 1a'!AW28,'Strength 1b'!AW28,'Strength IV'!AW28)</f>
        <v>82688.1055533382</v>
      </c>
      <c r="AY28" s="26">
        <f>MIN('Strength 1a'!AX28,'Strength 1b'!AX28,'Strength IV'!AX28)</f>
        <v>143220</v>
      </c>
      <c r="AZ28" s="26">
        <f>'Strength 1b'!AY28</f>
        <v>206909.5</v>
      </c>
      <c r="BA28" s="26">
        <f>MIN('Strength 1a'!AZ28,'Strength 1b'!AZ28,'Strength IV'!AZ28)</f>
        <v>2219910</v>
      </c>
      <c r="BB28" s="26">
        <f>'Strength 1b'!BA28</f>
        <v>3207097.25</v>
      </c>
      <c r="BC28" s="26">
        <f>MAX('Strength 1a'!BB28,'Strength 1b'!BB28,'Strength IV'!BB28)</f>
        <v>886526.6666666666</v>
      </c>
      <c r="BD28" s="26">
        <f>'Strength 1b'!BB28</f>
        <v>886526.6666666666</v>
      </c>
      <c r="BE28" s="30">
        <f>MAX('Strength 1a'!BC28,'Strength 1b'!BC28,'Strength IV'!BC28)</f>
        <v>6.1899641577060915</v>
      </c>
      <c r="BF28" s="30">
        <f>'Strength 1b'!BD28</f>
        <v>4.284610743666514</v>
      </c>
      <c r="BG28" s="30">
        <f>'Strength 1b'!BE28</f>
        <v>22.430778512666972</v>
      </c>
      <c r="BH28" s="30">
        <f>MIN('Strength 1a'!BF28,'Strength 1b'!BF28,'Strength IV'!BF28)</f>
        <v>7.75</v>
      </c>
      <c r="BI28" s="30">
        <f>MIN('Strength 1a'!BG28,'Strength 1b'!BG28,'Strength IV'!BG28)</f>
        <v>30.139627791519086</v>
      </c>
      <c r="BJ28" s="30">
        <f>MIN('Strength 1a'!BH28,'Strength 1b'!BH28,'Strength IV'!BH28)</f>
        <v>18.401122218708668</v>
      </c>
      <c r="BK28" s="30">
        <f>MIN('Strength 1a'!BI28,'Strength 1b'!BI28,'Strength IV'!BI28)</f>
        <v>22.402486271104557</v>
      </c>
      <c r="BL28" s="29">
        <f>MIN('Strength 1a'!BJ28,'Strength 1b'!BJ28,'Strength IV'!BJ28)</f>
        <v>0</v>
      </c>
      <c r="BM28" s="31">
        <f>MIN('Strength 1a'!BK28,'Strength 1b'!BK28,'Strength IV'!BK28)</f>
        <v>0.3333333333333333</v>
      </c>
      <c r="BN28" s="29">
        <f>MIN('Strength 1a'!BL28,'Strength 1b'!BL28,'Strength IV'!BL28)</f>
        <v>0</v>
      </c>
      <c r="BO28" s="31">
        <f>MIN('Strength 1a'!BM28,'Strength 1b'!BM28,'Strength IV'!BM28)</f>
        <v>0</v>
      </c>
      <c r="BP28" s="29">
        <f>MIN('Strength 1a'!BN28,'Strength 1b'!BN28,'Strength IV'!BN28)</f>
        <v>0</v>
      </c>
      <c r="BQ28" s="31">
        <f>MIN('Strength 1a'!BO28,'Strength 1b'!BO28,'Strength IV'!BO28)</f>
        <v>0</v>
      </c>
      <c r="BR28" s="192">
        <f t="shared" si="4"/>
        <v>0.017453292519943295</v>
      </c>
      <c r="BS28" s="192">
        <f t="shared" si="5"/>
        <v>0.5773502691896257</v>
      </c>
      <c r="BT28" s="192">
        <f t="shared" si="6"/>
        <v>0</v>
      </c>
      <c r="BU28" s="3" t="s">
        <v>1</v>
      </c>
      <c r="BV28" s="193">
        <f t="shared" si="9"/>
        <v>16</v>
      </c>
      <c r="BW28" s="30">
        <f>MIN('Strength 1a'!BU28,'Strength 1b'!BU28,'Strength IV'!BU28)</f>
        <v>0</v>
      </c>
      <c r="BX28" s="31">
        <f>MIN('Strength 1a'!BV28,'Strength 1b'!BV28,'Strength IV'!BV28)</f>
        <v>0</v>
      </c>
      <c r="BY28" s="31">
        <f>MIN('Strength 1a'!BW28,'Strength 1b'!BW28,'Strength IV'!BW28)</f>
        <v>1</v>
      </c>
      <c r="BZ28" s="31">
        <f>MIN('Strength 1a'!BX28,'Strength 1b'!BX28,'Strength IV'!BX28)</f>
        <v>1</v>
      </c>
      <c r="CA28" s="31">
        <f>MIN('Strength 1a'!BY28,'Strength 1b'!BY28,'Strength IV'!BY28)</f>
        <v>0.7500000000000001</v>
      </c>
      <c r="CB28" s="31">
        <f>MIN('Strength 1a'!BZ28,'Strength 1b'!BZ28,'Strength IV'!BZ28)</f>
        <v>1</v>
      </c>
      <c r="CC28" s="31">
        <f>MIN('Strength 1a'!CA28,'Strength 1b'!CA28,'Strength IV'!CA28)</f>
        <v>1</v>
      </c>
      <c r="CD28" s="31">
        <f>MIN('Strength 1a'!CB28,'Strength 1b'!CB28,'Strength IV'!CB28)</f>
        <v>0</v>
      </c>
      <c r="CE28" s="31">
        <f>MIN('Strength 1a'!CC28,'Strength 1b'!CC28,'Strength IV'!CC28)</f>
        <v>0.4999999999999999</v>
      </c>
      <c r="CF28" s="31">
        <f>MIN('Strength 1a'!CD28,'Strength 1b'!CD28,'Strength IV'!CD28)</f>
        <v>0.5000000000000001</v>
      </c>
      <c r="CG28" s="31">
        <f>MIN('Strength 1a'!CE28,'Strength 1b'!CE28,'Strength IV'!CE28)</f>
        <v>1.5</v>
      </c>
      <c r="CH28" s="31">
        <f>MIN('Strength 1a'!CF28,'Strength 1b'!CF28,'Strength IV'!CF28)</f>
        <v>0.3333333333333334</v>
      </c>
      <c r="CI28" s="31">
        <f>MIN('Strength 1a'!CG28,'Strength 1b'!CG28,'Strength IV'!CG28)</f>
        <v>0.4999999999999999</v>
      </c>
      <c r="CJ28" s="31">
        <f>MIN('Strength 1a'!CH28,'Strength 1b'!CH28,'Strength IV'!CH28)</f>
        <v>0.5000000000000001</v>
      </c>
      <c r="CK28" s="31">
        <f>MIN('Strength 1a'!CI28,'Strength 1b'!CI28,'Strength IV'!CI28)</f>
        <v>1.5</v>
      </c>
      <c r="CL28" s="31">
        <f>MIN('Strength 1a'!CJ28,'Strength 1b'!CJ28,'Strength IV'!CJ28)</f>
        <v>0.3333333333333334</v>
      </c>
    </row>
    <row r="29" spans="1:90" ht="15.75">
      <c r="A29" s="45" t="s">
        <v>61</v>
      </c>
      <c r="B29" s="42">
        <v>19</v>
      </c>
      <c r="C29" s="32">
        <f t="shared" si="0"/>
        <v>46</v>
      </c>
      <c r="D29" s="185">
        <v>44</v>
      </c>
      <c r="E29" s="186">
        <v>2</v>
      </c>
      <c r="F29" s="187">
        <v>33</v>
      </c>
      <c r="G29" s="194" t="str">
        <f t="shared" si="7"/>
        <v>OK</v>
      </c>
      <c r="H29" s="33">
        <f>MIN('Strength 1a'!G29,'Strength 1b'!G29,'Strength IV'!G29)</f>
        <v>2.614297145905575</v>
      </c>
      <c r="I29" s="33">
        <f>MAX('Strength 1a'!H29,'Strength 1b'!H29,'Strength IV'!H29)</f>
        <v>0.765023977145189</v>
      </c>
      <c r="J29" s="33">
        <f>MIN('Strength 1a'!I29,'Strength 1b'!I29,'Strength IV'!I29)</f>
        <v>1.4782157754251624</v>
      </c>
      <c r="K29" s="33">
        <f>MIN('Strength 1a'!J29,'Strength 1b'!J29,'Strength IV'!J29)</f>
        <v>1.051849802401791</v>
      </c>
      <c r="L29" s="185">
        <v>0</v>
      </c>
      <c r="M29" s="185">
        <v>200</v>
      </c>
      <c r="N29" s="188">
        <f t="shared" si="1"/>
        <v>0</v>
      </c>
      <c r="O29" s="188">
        <f t="shared" si="2"/>
        <v>1</v>
      </c>
      <c r="P29" s="185">
        <v>0</v>
      </c>
      <c r="Q29" s="185">
        <v>105</v>
      </c>
      <c r="R29" s="185">
        <v>105</v>
      </c>
      <c r="S29" s="185">
        <v>30</v>
      </c>
      <c r="T29" s="185">
        <f t="shared" si="8"/>
        <v>0</v>
      </c>
      <c r="U29" s="185">
        <v>105</v>
      </c>
      <c r="V29" s="185">
        <v>30</v>
      </c>
      <c r="W29" s="185">
        <v>0</v>
      </c>
      <c r="X29" s="185">
        <v>30</v>
      </c>
      <c r="Y29" s="189">
        <v>90</v>
      </c>
      <c r="Z29" s="190" t="s">
        <v>82</v>
      </c>
      <c r="AA29" s="191">
        <v>250</v>
      </c>
      <c r="AB29" s="191">
        <v>250</v>
      </c>
      <c r="AC29" s="47" t="s">
        <v>61</v>
      </c>
      <c r="AD29" s="49">
        <f t="shared" si="3"/>
        <v>0.5</v>
      </c>
      <c r="AE29" s="146"/>
      <c r="AF29" s="149"/>
      <c r="AG29" s="82" t="s">
        <v>50</v>
      </c>
      <c r="AH29" s="26">
        <f>MAX('Strength 1a'!AG29,'Strength 1b'!AG29,'Strength IV'!AG29)</f>
        <v>9473.4518583489</v>
      </c>
      <c r="AI29" s="44">
        <f>MIN('Strength 1a'!AH29,'Strength 1b'!AH29,'Strength IV'!AH29)</f>
        <v>9055.111099867026</v>
      </c>
      <c r="AJ29" s="26">
        <f>MIN('Strength 1a'!AI29,'Strength 1b'!AI29,'Strength IV'!AI29)</f>
        <v>0</v>
      </c>
      <c r="AK29" s="30">
        <f>MIN('Strength 1a'!AJ29,'Strength 1b'!AJ29,'Strength IV'!AJ29)</f>
        <v>0</v>
      </c>
      <c r="AL29" s="26">
        <f>MIN('Strength 1a'!AK29,'Strength 1b'!AK29,'Strength IV'!AK29)</f>
        <v>159390</v>
      </c>
      <c r="AM29" s="26">
        <f>MIN('Strength 1a'!AL29,'Strength 1b'!AL29,'Strength IV'!AL29)</f>
        <v>0</v>
      </c>
      <c r="AN29" s="26">
        <f>MIN('Strength 1a'!AM29,'Strength 1b'!AM29,'Strength IV'!AM29)</f>
        <v>0</v>
      </c>
      <c r="AO29" s="26">
        <f>MIN('Strength 1a'!AN29,'Strength 1b'!AN29)</f>
        <v>14437.5</v>
      </c>
      <c r="AP29" s="29">
        <f>MIN('Strength 1a'!AO29,'Strength 1b'!AO29,'Strength IV'!AO29)</f>
        <v>0</v>
      </c>
      <c r="AQ29" s="26">
        <f>MIN('Strength 1a'!AP29,'Strength 1b'!AP29,'Strength IV'!AP29)</f>
        <v>37030</v>
      </c>
      <c r="AR29" s="26">
        <f>MIN('Strength 1a'!AQ29,'Strength 1b'!AQ29,'Strength IV'!AQ29)</f>
        <v>0</v>
      </c>
      <c r="AS29" s="26">
        <f>MIN('Strength 1a'!AR29,'Strength 1b'!AR29,'Strength IV'!AR29)</f>
        <v>0</v>
      </c>
      <c r="AT29" s="26">
        <f>MIN('Strength 1a'!AS29,'Strength 1b'!AS29)</f>
        <v>3833.333333333333</v>
      </c>
      <c r="AU29" s="26">
        <f>MIN('Strength 1a'!AT29,'Strength 1b'!AT29)</f>
        <v>0</v>
      </c>
      <c r="AV29" s="26">
        <f>MIN('Strength 1a'!AU29,'Strength 1b'!AU29)</f>
        <v>0</v>
      </c>
      <c r="AW29" s="26">
        <f>MIN('Strength 1a'!AV29,'Strength 1b'!AV29,'Strength IV'!AV29)</f>
        <v>55545</v>
      </c>
      <c r="AX29" s="26">
        <f>MIN('Strength 1a'!AW29,'Strength 1b'!AW29,'Strength IV'!AW29)</f>
        <v>92023.85940613445</v>
      </c>
      <c r="AY29" s="26">
        <f>MIN('Strength 1a'!AX29,'Strength 1b'!AX29,'Strength IV'!AX29)</f>
        <v>159390</v>
      </c>
      <c r="AZ29" s="26">
        <f>'Strength 1b'!AY29</f>
        <v>229614</v>
      </c>
      <c r="BA29" s="26">
        <f>MIN('Strength 1a'!AZ29,'Strength 1b'!AZ29,'Strength IV'!AZ29)</f>
        <v>2629935</v>
      </c>
      <c r="BB29" s="26">
        <f>'Strength 1b'!BA29</f>
        <v>3788631</v>
      </c>
      <c r="BC29" s="26">
        <f>MAX('Strength 1a'!BB29,'Strength 1b'!BB29,'Strength IV'!BB29)</f>
        <v>1005981.6666666666</v>
      </c>
      <c r="BD29" s="26">
        <f>'Strength 1b'!BB29</f>
        <v>1005981.6666666666</v>
      </c>
      <c r="BE29" s="30">
        <f>MAX('Strength 1a'!BC29,'Strength 1b'!BC29,'Strength IV'!BC29)</f>
        <v>6.31144781144781</v>
      </c>
      <c r="BF29" s="30">
        <f>'Strength 1b'!BD29</f>
        <v>4.381186106538218</v>
      </c>
      <c r="BG29" s="30">
        <f>'Strength 1b'!BE29</f>
        <v>24.237627786923564</v>
      </c>
      <c r="BH29" s="30">
        <f>MIN('Strength 1a'!BF29,'Strength 1b'!BF29,'Strength IV'!BF29)</f>
        <v>8.25</v>
      </c>
      <c r="BI29" s="30">
        <f>MIN('Strength 1a'!BG29,'Strength 1b'!BG29,'Strength IV'!BG29)</f>
        <v>30.139627791519086</v>
      </c>
      <c r="BJ29" s="30">
        <f>MIN('Strength 1a'!BH29,'Strength 1b'!BH29,'Strength IV'!BH29)</f>
        <v>18.401122218708668</v>
      </c>
      <c r="BK29" s="30">
        <f>MIN('Strength 1a'!BI29,'Strength 1b'!BI29,'Strength IV'!BI29)</f>
        <v>22.402486271104557</v>
      </c>
      <c r="BL29" s="29">
        <f>MIN('Strength 1a'!BJ29,'Strength 1b'!BJ29,'Strength IV'!BJ29)</f>
        <v>0</v>
      </c>
      <c r="BM29" s="31">
        <f>MIN('Strength 1a'!BK29,'Strength 1b'!BK29,'Strength IV'!BK29)</f>
        <v>0.3333333333333333</v>
      </c>
      <c r="BN29" s="29">
        <f>MIN('Strength 1a'!BL29,'Strength 1b'!BL29,'Strength IV'!BL29)</f>
        <v>0</v>
      </c>
      <c r="BO29" s="31">
        <f>MIN('Strength 1a'!BM29,'Strength 1b'!BM29,'Strength IV'!BM29)</f>
        <v>0</v>
      </c>
      <c r="BP29" s="29">
        <f>MIN('Strength 1a'!BN29,'Strength 1b'!BN29,'Strength IV'!BN29)</f>
        <v>0</v>
      </c>
      <c r="BQ29" s="31">
        <f>MIN('Strength 1a'!BO29,'Strength 1b'!BO29,'Strength IV'!BO29)</f>
        <v>0</v>
      </c>
      <c r="BR29" s="235">
        <f t="shared" si="4"/>
        <v>0.017453292519943295</v>
      </c>
      <c r="BS29" s="235">
        <f t="shared" si="5"/>
        <v>0.5773502691896257</v>
      </c>
      <c r="BT29" s="235">
        <f t="shared" si="6"/>
        <v>0</v>
      </c>
      <c r="BU29" s="204" t="s">
        <v>1</v>
      </c>
      <c r="BV29" s="193">
        <f t="shared" si="9"/>
        <v>17</v>
      </c>
      <c r="BW29" s="30">
        <f>MIN('Strength 1a'!BU29,'Strength 1b'!BU29,'Strength IV'!BU29)</f>
        <v>0</v>
      </c>
      <c r="BX29" s="31">
        <f>MIN('Strength 1a'!BV29,'Strength 1b'!BV29,'Strength IV'!BV29)</f>
        <v>0</v>
      </c>
      <c r="BY29" s="31">
        <f>MIN('Strength 1a'!BW29,'Strength 1b'!BW29,'Strength IV'!BW29)</f>
        <v>1</v>
      </c>
      <c r="BZ29" s="31">
        <f>MIN('Strength 1a'!BX29,'Strength 1b'!BX29,'Strength IV'!BX29)</f>
        <v>1</v>
      </c>
      <c r="CA29" s="31">
        <f>MIN('Strength 1a'!BY29,'Strength 1b'!BY29,'Strength IV'!BY29)</f>
        <v>0.7500000000000001</v>
      </c>
      <c r="CB29" s="31">
        <f>MIN('Strength 1a'!BZ29,'Strength 1b'!BZ29,'Strength IV'!BZ29)</f>
        <v>1</v>
      </c>
      <c r="CC29" s="31">
        <f>MIN('Strength 1a'!CA29,'Strength 1b'!CA29,'Strength IV'!CA29)</f>
        <v>1</v>
      </c>
      <c r="CD29" s="31">
        <f>MIN('Strength 1a'!CB29,'Strength 1b'!CB29,'Strength IV'!CB29)</f>
        <v>0</v>
      </c>
      <c r="CE29" s="31">
        <f>MIN('Strength 1a'!CC29,'Strength 1b'!CC29,'Strength IV'!CC29)</f>
        <v>0.4999999999999999</v>
      </c>
      <c r="CF29" s="31">
        <f>MIN('Strength 1a'!CD29,'Strength 1b'!CD29,'Strength IV'!CD29)</f>
        <v>0.5000000000000001</v>
      </c>
      <c r="CG29" s="31">
        <f>MIN('Strength 1a'!CE29,'Strength 1b'!CE29,'Strength IV'!CE29)</f>
        <v>1.5</v>
      </c>
      <c r="CH29" s="31">
        <f>MIN('Strength 1a'!CF29,'Strength 1b'!CF29,'Strength IV'!CF29)</f>
        <v>0.3333333333333334</v>
      </c>
      <c r="CI29" s="31">
        <f>MIN('Strength 1a'!CG29,'Strength 1b'!CG29,'Strength IV'!CG29)</f>
        <v>0.4999999999999999</v>
      </c>
      <c r="CJ29" s="31">
        <f>MIN('Strength 1a'!CH29,'Strength 1b'!CH29,'Strength IV'!CH29)</f>
        <v>0.5000000000000001</v>
      </c>
      <c r="CK29" s="31">
        <f>MIN('Strength 1a'!CI29,'Strength 1b'!CI29,'Strength IV'!CI29)</f>
        <v>1.5</v>
      </c>
      <c r="CL29" s="31">
        <f>MIN('Strength 1a'!CJ29,'Strength 1b'!CJ29,'Strength IV'!CJ29)</f>
        <v>0.3333333333333334</v>
      </c>
    </row>
    <row r="30" spans="1:90" ht="15.75">
      <c r="A30" s="45" t="s">
        <v>61</v>
      </c>
      <c r="B30" s="42">
        <v>20</v>
      </c>
      <c r="C30" s="32">
        <f t="shared" si="0"/>
        <v>48</v>
      </c>
      <c r="D30" s="185">
        <v>46</v>
      </c>
      <c r="E30" s="186">
        <v>2</v>
      </c>
      <c r="F30" s="187">
        <v>34</v>
      </c>
      <c r="G30" s="194" t="str">
        <f t="shared" si="7"/>
        <v>OK</v>
      </c>
      <c r="H30" s="33">
        <f>MIN('Strength 1a'!G30,'Strength 1b'!G30,'Strength IV'!G30)</f>
        <v>2.56508875739645</v>
      </c>
      <c r="I30" s="33">
        <f>MAX('Strength 1a'!H30,'Strength 1b'!H30,'Strength IV'!H30)</f>
        <v>0.7797001153402537</v>
      </c>
      <c r="J30" s="33">
        <f>MIN('Strength 1a'!I30,'Strength 1b'!I30,'Strength IV'!I30)</f>
        <v>1.46613429354378</v>
      </c>
      <c r="K30" s="33">
        <f>MIN('Strength 1a'!J30,'Strength 1b'!J30,'Strength IV'!J30)</f>
        <v>1.0201636514926005</v>
      </c>
      <c r="L30" s="185">
        <v>0</v>
      </c>
      <c r="M30" s="185">
        <v>200</v>
      </c>
      <c r="N30" s="188">
        <f t="shared" si="1"/>
        <v>0</v>
      </c>
      <c r="O30" s="188">
        <f t="shared" si="2"/>
        <v>1</v>
      </c>
      <c r="P30" s="185">
        <v>0</v>
      </c>
      <c r="Q30" s="185">
        <v>105</v>
      </c>
      <c r="R30" s="185">
        <v>105</v>
      </c>
      <c r="S30" s="185">
        <v>30</v>
      </c>
      <c r="T30" s="185">
        <f t="shared" si="8"/>
        <v>0</v>
      </c>
      <c r="U30" s="185">
        <v>105</v>
      </c>
      <c r="V30" s="185">
        <v>30</v>
      </c>
      <c r="W30" s="185">
        <v>0</v>
      </c>
      <c r="X30" s="185">
        <v>30</v>
      </c>
      <c r="Y30" s="189">
        <v>90</v>
      </c>
      <c r="Z30" s="190" t="s">
        <v>82</v>
      </c>
      <c r="AA30" s="191">
        <v>250</v>
      </c>
      <c r="AB30" s="191">
        <v>250</v>
      </c>
      <c r="AC30" s="47" t="s">
        <v>61</v>
      </c>
      <c r="AD30" s="49">
        <f t="shared" si="3"/>
        <v>0.5</v>
      </c>
      <c r="AG30" s="82" t="s">
        <v>50</v>
      </c>
      <c r="AH30" s="26">
        <f>MAX('Strength 1a'!AG30,'Strength 1b'!AG30,'Strength IV'!AG30)</f>
        <v>9937.984423951288</v>
      </c>
      <c r="AI30" s="44">
        <f>MIN('Strength 1a'!AH30,'Strength 1b'!AH30,'Strength IV'!AH30)</f>
        <v>9177.459991876724</v>
      </c>
      <c r="AJ30" s="26">
        <f>MIN('Strength 1a'!AI30,'Strength 1b'!AI30,'Strength IV'!AI30)</f>
        <v>0</v>
      </c>
      <c r="AK30" s="30">
        <f>MIN('Strength 1a'!AJ30,'Strength 1b'!AJ30,'Strength IV'!AJ30)</f>
        <v>0</v>
      </c>
      <c r="AL30" s="26">
        <f>MIN('Strength 1a'!AK30,'Strength 1b'!AK30,'Strength IV'!AK30)</f>
        <v>171360</v>
      </c>
      <c r="AM30" s="26">
        <f>MIN('Strength 1a'!AL30,'Strength 1b'!AL30,'Strength IV'!AL30)</f>
        <v>0</v>
      </c>
      <c r="AN30" s="26">
        <f>MIN('Strength 1a'!AM30,'Strength 1b'!AM30,'Strength IV'!AM30)</f>
        <v>0</v>
      </c>
      <c r="AO30" s="26">
        <f>MIN('Strength 1a'!AN30,'Strength 1b'!AN30)</f>
        <v>14875</v>
      </c>
      <c r="AP30" s="29">
        <f>MIN('Strength 1a'!AO30,'Strength 1b'!AO30,'Strength IV'!AO30)</f>
        <v>0</v>
      </c>
      <c r="AQ30" s="26">
        <f>MIN('Strength 1a'!AP30,'Strength 1b'!AP30,'Strength IV'!AP30)</f>
        <v>40320</v>
      </c>
      <c r="AR30" s="26">
        <f>MIN('Strength 1a'!AQ30,'Strength 1b'!AQ30,'Strength IV'!AQ30)</f>
        <v>0</v>
      </c>
      <c r="AS30" s="26">
        <f>MIN('Strength 1a'!AR30,'Strength 1b'!AR30,'Strength IV'!AR30)</f>
        <v>0</v>
      </c>
      <c r="AT30" s="26">
        <f>MIN('Strength 1a'!AS30,'Strength 1b'!AS30)</f>
        <v>4000</v>
      </c>
      <c r="AU30" s="26">
        <f>MIN('Strength 1a'!AT30,'Strength 1b'!AT30)</f>
        <v>0</v>
      </c>
      <c r="AV30" s="26">
        <f>MIN('Strength 1a'!AU30,'Strength 1b'!AU30)</f>
        <v>0</v>
      </c>
      <c r="AW30" s="26">
        <f>MIN('Strength 1a'!AV30,'Strength 1b'!AV30,'Strength IV'!AV30)</f>
        <v>60480</v>
      </c>
      <c r="AX30" s="26">
        <f>MIN('Strength 1a'!AW30,'Strength 1b'!AW30,'Strength IV'!AW30)</f>
        <v>98934.74212833427</v>
      </c>
      <c r="AY30" s="26">
        <f>MIN('Strength 1a'!AX30,'Strength 1b'!AX30,'Strength IV'!AX30)</f>
        <v>171360</v>
      </c>
      <c r="AZ30" s="26">
        <f>'Strength 1b'!AY30</f>
        <v>246211.00000000003</v>
      </c>
      <c r="BA30" s="26">
        <f>MIN('Strength 1a'!AZ30,'Strength 1b'!AZ30,'Strength IV'!AZ30)</f>
        <v>2913120</v>
      </c>
      <c r="BB30" s="26">
        <f>'Strength 1b'!BA30</f>
        <v>4185587.0000000005</v>
      </c>
      <c r="BC30" s="26">
        <f>MAX('Strength 1a'!BB30,'Strength 1b'!BB30,'Strength IV'!BB30)</f>
        <v>1135680</v>
      </c>
      <c r="BD30" s="26">
        <f>'Strength 1b'!BB30</f>
        <v>1135680</v>
      </c>
      <c r="BE30" s="30">
        <f>MAX('Strength 1a'!BC30,'Strength 1b'!BC30,'Strength IV'!BC30)</f>
        <v>6.627450980392156</v>
      </c>
      <c r="BF30" s="30">
        <f>'Strength 1b'!BD30</f>
        <v>4.612629005202853</v>
      </c>
      <c r="BG30" s="30">
        <f>'Strength 1b'!BE30</f>
        <v>24.774741989594293</v>
      </c>
      <c r="BH30" s="30">
        <f>MIN('Strength 1a'!BF30,'Strength 1b'!BF30,'Strength IV'!BF30)</f>
        <v>8.5</v>
      </c>
      <c r="BI30" s="30">
        <f>MIN('Strength 1a'!BG30,'Strength 1b'!BG30,'Strength IV'!BG30)</f>
        <v>30.139627791519086</v>
      </c>
      <c r="BJ30" s="30">
        <f>MIN('Strength 1a'!BH30,'Strength 1b'!BH30,'Strength IV'!BH30)</f>
        <v>18.401122218708668</v>
      </c>
      <c r="BK30" s="30">
        <f>MIN('Strength 1a'!BI30,'Strength 1b'!BI30,'Strength IV'!BI30)</f>
        <v>22.402486271104557</v>
      </c>
      <c r="BL30" s="29">
        <f>MIN('Strength 1a'!BJ30,'Strength 1b'!BJ30,'Strength IV'!BJ30)</f>
        <v>0</v>
      </c>
      <c r="BM30" s="31">
        <f>MIN('Strength 1a'!BK30,'Strength 1b'!BK30,'Strength IV'!BK30)</f>
        <v>0.3333333333333333</v>
      </c>
      <c r="BN30" s="29">
        <f>MIN('Strength 1a'!BL30,'Strength 1b'!BL30,'Strength IV'!BL30)</f>
        <v>0</v>
      </c>
      <c r="BO30" s="31">
        <f>MIN('Strength 1a'!BM30,'Strength 1b'!BM30,'Strength IV'!BM30)</f>
        <v>0</v>
      </c>
      <c r="BP30" s="29">
        <f>MIN('Strength 1a'!BN30,'Strength 1b'!BN30,'Strength IV'!BN30)</f>
        <v>0</v>
      </c>
      <c r="BQ30" s="31">
        <f>MIN('Strength 1a'!BO30,'Strength 1b'!BO30,'Strength IV'!BO30)</f>
        <v>0</v>
      </c>
      <c r="BR30" s="236">
        <f t="shared" si="4"/>
        <v>0.017453292519943295</v>
      </c>
      <c r="BS30" s="236">
        <f t="shared" si="5"/>
        <v>0.5773502691896257</v>
      </c>
      <c r="BT30" s="236">
        <f t="shared" si="6"/>
        <v>0</v>
      </c>
      <c r="BU30" s="6" t="s">
        <v>1</v>
      </c>
      <c r="BV30" s="193">
        <f t="shared" si="9"/>
        <v>18</v>
      </c>
      <c r="BW30" s="30">
        <f>MIN('Strength 1a'!BU30,'Strength 1b'!BU30,'Strength IV'!BU30)</f>
        <v>0</v>
      </c>
      <c r="BX30" s="31">
        <f>MIN('Strength 1a'!BV30,'Strength 1b'!BV30,'Strength IV'!BV30)</f>
        <v>0</v>
      </c>
      <c r="BY30" s="31">
        <f>MIN('Strength 1a'!BW30,'Strength 1b'!BW30,'Strength IV'!BW30)</f>
        <v>1</v>
      </c>
      <c r="BZ30" s="31">
        <f>MIN('Strength 1a'!BX30,'Strength 1b'!BX30,'Strength IV'!BX30)</f>
        <v>1</v>
      </c>
      <c r="CA30" s="31">
        <f>MIN('Strength 1a'!BY30,'Strength 1b'!BY30,'Strength IV'!BY30)</f>
        <v>0.7500000000000001</v>
      </c>
      <c r="CB30" s="31">
        <f>MIN('Strength 1a'!BZ30,'Strength 1b'!BZ30,'Strength IV'!BZ30)</f>
        <v>1</v>
      </c>
      <c r="CC30" s="31">
        <f>MIN('Strength 1a'!CA30,'Strength 1b'!CA30,'Strength IV'!CA30)</f>
        <v>1</v>
      </c>
      <c r="CD30" s="31">
        <f>MIN('Strength 1a'!CB30,'Strength 1b'!CB30,'Strength IV'!CB30)</f>
        <v>0</v>
      </c>
      <c r="CE30" s="31">
        <f>MIN('Strength 1a'!CC30,'Strength 1b'!CC30,'Strength IV'!CC30)</f>
        <v>0.4999999999999999</v>
      </c>
      <c r="CF30" s="31">
        <f>MIN('Strength 1a'!CD30,'Strength 1b'!CD30,'Strength IV'!CD30)</f>
        <v>0.5000000000000001</v>
      </c>
      <c r="CG30" s="31">
        <f>MIN('Strength 1a'!CE30,'Strength 1b'!CE30,'Strength IV'!CE30)</f>
        <v>1.5</v>
      </c>
      <c r="CH30" s="31">
        <f>MIN('Strength 1a'!CF30,'Strength 1b'!CF30,'Strength IV'!CF30)</f>
        <v>0.3333333333333334</v>
      </c>
      <c r="CI30" s="31">
        <f>MIN('Strength 1a'!CG30,'Strength 1b'!CG30,'Strength IV'!CG30)</f>
        <v>0.4999999999999999</v>
      </c>
      <c r="CJ30" s="31">
        <f>MIN('Strength 1a'!CH30,'Strength 1b'!CH30,'Strength IV'!CH30)</f>
        <v>0.5000000000000001</v>
      </c>
      <c r="CK30" s="31">
        <f>MIN('Strength 1a'!CI30,'Strength 1b'!CI30,'Strength IV'!CI30)</f>
        <v>1.5</v>
      </c>
      <c r="CL30" s="31">
        <f>MIN('Strength 1a'!CJ30,'Strength 1b'!CJ30,'Strength IV'!CJ30)</f>
        <v>0.3333333333333334</v>
      </c>
    </row>
    <row r="31" spans="1:76" ht="15.75">
      <c r="A31" s="45" t="s">
        <v>61</v>
      </c>
      <c r="C31" s="50"/>
      <c r="D31" s="51"/>
      <c r="E31" s="51"/>
      <c r="F31" s="52"/>
      <c r="G31" s="122"/>
      <c r="H31" s="122"/>
      <c r="I31" s="123"/>
      <c r="J31" s="122"/>
      <c r="K31" s="122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124"/>
      <c r="AA31" s="53"/>
      <c r="AB31" s="53"/>
      <c r="AC31" s="47" t="s">
        <v>61</v>
      </c>
      <c r="AG31" s="84"/>
      <c r="AH31" s="84"/>
      <c r="AI31" s="84"/>
      <c r="AJ31" s="84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8"/>
      <c r="BM31" s="2"/>
      <c r="BN31" s="8"/>
      <c r="BO31" s="2"/>
      <c r="BP31" s="2"/>
      <c r="BQ31" s="2"/>
      <c r="BR31" s="192"/>
      <c r="BS31" s="192"/>
      <c r="BT31" s="192"/>
      <c r="BU31" s="3"/>
      <c r="BV31" s="193">
        <f t="shared" si="9"/>
        <v>19</v>
      </c>
      <c r="BW31" s="237"/>
      <c r="BX31" s="238"/>
    </row>
    <row r="32" spans="1:76" ht="15.75" hidden="1">
      <c r="A32" s="45" t="s">
        <v>61</v>
      </c>
      <c r="B32" s="54" t="s">
        <v>209</v>
      </c>
      <c r="C32" s="55"/>
      <c r="D32" s="56"/>
      <c r="E32" s="56"/>
      <c r="F32" s="55"/>
      <c r="G32" s="125"/>
      <c r="H32" s="125"/>
      <c r="I32" s="126"/>
      <c r="J32" s="127"/>
      <c r="K32" s="127"/>
      <c r="L32" s="57" t="s">
        <v>127</v>
      </c>
      <c r="M32" s="47"/>
      <c r="N32" s="47"/>
      <c r="O32" s="47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24"/>
      <c r="AA32" s="53"/>
      <c r="AB32" s="53"/>
      <c r="AC32" s="47" t="s">
        <v>61</v>
      </c>
      <c r="AG32" s="84"/>
      <c r="AH32" s="84"/>
      <c r="AI32" s="84"/>
      <c r="AJ32" s="84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8"/>
      <c r="BR32" s="192"/>
      <c r="BS32" s="192"/>
      <c r="BT32" s="192"/>
      <c r="BU32" s="3"/>
      <c r="BV32" s="193">
        <f t="shared" si="9"/>
        <v>20</v>
      </c>
      <c r="BW32" s="237"/>
      <c r="BX32" s="237"/>
    </row>
    <row r="33" spans="1:76" ht="15.75">
      <c r="A33" s="45"/>
      <c r="B33" s="58" t="s">
        <v>62</v>
      </c>
      <c r="C33" s="59" t="s">
        <v>64</v>
      </c>
      <c r="D33" s="59"/>
      <c r="E33" s="59"/>
      <c r="F33" s="47"/>
      <c r="K33" s="128" t="s">
        <v>51</v>
      </c>
      <c r="L33" s="129"/>
      <c r="M33" s="129"/>
      <c r="N33" s="129"/>
      <c r="O33" s="129"/>
      <c r="P33" s="130"/>
      <c r="Q33" s="74"/>
      <c r="R33" s="131"/>
      <c r="S33" s="132"/>
      <c r="T33" s="132"/>
      <c r="U33" s="132"/>
      <c r="V33" s="132"/>
      <c r="W33" s="74"/>
      <c r="X33" s="74"/>
      <c r="Y33" s="74"/>
      <c r="Z33" s="133"/>
      <c r="AA33" s="73"/>
      <c r="AB33" s="53"/>
      <c r="AG33" s="84"/>
      <c r="AH33" s="16"/>
      <c r="AI33" s="16"/>
      <c r="AJ33" s="20" t="s">
        <v>53</v>
      </c>
      <c r="AK33" s="16" t="s">
        <v>52</v>
      </c>
      <c r="AL33" s="20" t="s">
        <v>53</v>
      </c>
      <c r="AM33" s="17" t="s">
        <v>54</v>
      </c>
      <c r="AN33" s="17"/>
      <c r="AO33" s="19"/>
      <c r="AP33" s="17"/>
      <c r="AQ33" s="92"/>
      <c r="AR33" s="93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8"/>
      <c r="BR33" s="192"/>
      <c r="BS33" s="192"/>
      <c r="BT33" s="192"/>
      <c r="BU33" s="3"/>
      <c r="BV33" s="193">
        <f t="shared" si="9"/>
        <v>21</v>
      </c>
      <c r="BW33" s="237"/>
      <c r="BX33" s="237"/>
    </row>
    <row r="34" spans="1:76" ht="15.75">
      <c r="A34" s="45"/>
      <c r="B34" s="60"/>
      <c r="C34" s="61"/>
      <c r="D34" s="62"/>
      <c r="E34" s="62"/>
      <c r="F34" s="61"/>
      <c r="G34" s="134"/>
      <c r="H34" s="134"/>
      <c r="I34" s="135"/>
      <c r="J34" s="136"/>
      <c r="K34" s="137" t="s">
        <v>95</v>
      </c>
      <c r="L34" s="138"/>
      <c r="M34" s="138"/>
      <c r="N34" s="138"/>
      <c r="O34" s="138"/>
      <c r="P34" s="138"/>
      <c r="Q34" s="138"/>
      <c r="R34" s="138"/>
      <c r="S34" s="11"/>
      <c r="T34" s="11"/>
      <c r="U34" s="11"/>
      <c r="V34" s="11"/>
      <c r="W34" s="11"/>
      <c r="X34" s="3"/>
      <c r="Y34" s="3"/>
      <c r="Z34" s="115"/>
      <c r="AA34" s="78"/>
      <c r="AB34" s="53"/>
      <c r="AG34" s="84"/>
      <c r="AH34" s="16"/>
      <c r="AI34" s="16"/>
      <c r="AJ34" s="94"/>
      <c r="AK34" s="16"/>
      <c r="AL34" s="94"/>
      <c r="AM34" s="95" t="s">
        <v>55</v>
      </c>
      <c r="AN34" s="95"/>
      <c r="AO34" s="96"/>
      <c r="AP34" s="95"/>
      <c r="AQ34" s="97"/>
      <c r="AR34" s="98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8"/>
      <c r="BP34" s="11"/>
      <c r="BQ34" s="11"/>
      <c r="BR34" s="192"/>
      <c r="BS34" s="192"/>
      <c r="BT34" s="192"/>
      <c r="BU34" s="3"/>
      <c r="BV34" s="193">
        <f t="shared" si="9"/>
        <v>22</v>
      </c>
      <c r="BW34" s="237"/>
      <c r="BX34" s="237"/>
    </row>
    <row r="35" spans="1:76" ht="12.75">
      <c r="A35" s="45" t="s">
        <v>61</v>
      </c>
      <c r="F35" s="47"/>
      <c r="K35" s="139" t="s">
        <v>96</v>
      </c>
      <c r="L35" s="138"/>
      <c r="M35" s="138"/>
      <c r="N35" s="138"/>
      <c r="O35" s="138"/>
      <c r="P35" s="138"/>
      <c r="Q35" s="11"/>
      <c r="R35" s="11"/>
      <c r="S35" s="11"/>
      <c r="T35" s="138"/>
      <c r="U35" s="11"/>
      <c r="V35" s="11"/>
      <c r="W35" s="11"/>
      <c r="X35" s="3"/>
      <c r="Y35" s="3"/>
      <c r="Z35" s="115"/>
      <c r="AA35" s="78"/>
      <c r="AC35" s="47" t="s">
        <v>61</v>
      </c>
      <c r="AH35" s="3"/>
      <c r="AI35" s="3"/>
      <c r="AJ35" s="3"/>
      <c r="AK35" s="3"/>
      <c r="AL35" s="3"/>
      <c r="AM35" s="3"/>
      <c r="AN35" s="3"/>
      <c r="AO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P35" s="11"/>
      <c r="BQ35" s="11"/>
      <c r="BR35" s="3"/>
      <c r="BS35" s="3"/>
      <c r="BT35" s="3"/>
      <c r="BU35" s="3"/>
      <c r="BV35" s="193">
        <f t="shared" si="9"/>
        <v>23</v>
      </c>
      <c r="BW35" s="237"/>
      <c r="BX35" s="237"/>
    </row>
    <row r="36" spans="1:76" ht="12.75">
      <c r="A36" s="45" t="s">
        <v>61</v>
      </c>
      <c r="K36" s="140" t="s">
        <v>97</v>
      </c>
      <c r="L36" s="138"/>
      <c r="M36" s="138"/>
      <c r="N36" s="138"/>
      <c r="O36" s="138"/>
      <c r="P36" s="138"/>
      <c r="Q36" s="11"/>
      <c r="R36" s="11"/>
      <c r="S36" s="11"/>
      <c r="T36" s="138"/>
      <c r="U36" s="11"/>
      <c r="V36" s="11"/>
      <c r="W36" s="11"/>
      <c r="X36" s="3"/>
      <c r="Y36" s="3"/>
      <c r="Z36" s="115" t="s">
        <v>61</v>
      </c>
      <c r="AA36" s="78" t="s">
        <v>61</v>
      </c>
      <c r="AB36" s="3" t="s">
        <v>61</v>
      </c>
      <c r="AC36" s="47" t="s">
        <v>61</v>
      </c>
      <c r="BV36" s="193">
        <f t="shared" si="9"/>
        <v>24</v>
      </c>
      <c r="BW36" s="237"/>
      <c r="BX36" s="237"/>
    </row>
    <row r="37" spans="1:76" ht="12.75">
      <c r="A37" s="45" t="s">
        <v>61</v>
      </c>
      <c r="G37" s="47" t="s">
        <v>61</v>
      </c>
      <c r="K37" s="141" t="s">
        <v>98</v>
      </c>
      <c r="L37" s="142"/>
      <c r="M37" s="142"/>
      <c r="N37" s="142"/>
      <c r="O37" s="142"/>
      <c r="P37" s="142"/>
      <c r="Q37" s="143"/>
      <c r="R37" s="143"/>
      <c r="S37" s="143"/>
      <c r="T37" s="142"/>
      <c r="U37" s="143"/>
      <c r="V37" s="143"/>
      <c r="W37" s="143"/>
      <c r="X37" s="6"/>
      <c r="Y37" s="6"/>
      <c r="Z37" s="113" t="s">
        <v>61</v>
      </c>
      <c r="AA37" s="69" t="s">
        <v>61</v>
      </c>
      <c r="AB37" s="47" t="s">
        <v>61</v>
      </c>
      <c r="AC37" s="47" t="s">
        <v>61</v>
      </c>
      <c r="BV37" s="193">
        <f t="shared" si="9"/>
        <v>25</v>
      </c>
      <c r="BW37" s="237"/>
      <c r="BX37" s="237"/>
    </row>
    <row r="38" spans="1:76" ht="12.75">
      <c r="A38" s="45" t="s">
        <v>61</v>
      </c>
      <c r="AB38" s="47" t="s">
        <v>61</v>
      </c>
      <c r="AC38" s="47" t="s">
        <v>61</v>
      </c>
      <c r="BV38" s="193">
        <f t="shared" si="9"/>
        <v>26</v>
      </c>
      <c r="BW38" s="237"/>
      <c r="BX38" s="237"/>
    </row>
    <row r="39" spans="1:76" ht="12.75">
      <c r="A39" s="45" t="s">
        <v>61</v>
      </c>
      <c r="C39" s="63" t="s">
        <v>72</v>
      </c>
      <c r="D39" s="63" t="s">
        <v>221</v>
      </c>
      <c r="E39" s="144"/>
      <c r="F39" s="144"/>
      <c r="G39" s="63"/>
      <c r="H39" s="63"/>
      <c r="K39" s="145"/>
      <c r="AB39" s="3" t="s">
        <v>61</v>
      </c>
      <c r="AC39" s="47" t="s">
        <v>61</v>
      </c>
      <c r="AD39" s="146"/>
      <c r="BV39" s="193">
        <f t="shared" si="9"/>
        <v>27</v>
      </c>
      <c r="BW39" s="237"/>
      <c r="BX39" s="237"/>
    </row>
    <row r="40" spans="1:76" ht="12.75">
      <c r="A40" s="45" t="s">
        <v>61</v>
      </c>
      <c r="C40" s="63" t="s">
        <v>60</v>
      </c>
      <c r="D40" s="144" t="s">
        <v>223</v>
      </c>
      <c r="E40" s="144"/>
      <c r="F40" s="144"/>
      <c r="G40" s="63"/>
      <c r="H40" s="63"/>
      <c r="AB40" s="47" t="s">
        <v>61</v>
      </c>
      <c r="AC40" s="47" t="s">
        <v>61</v>
      </c>
      <c r="BV40" s="193">
        <f t="shared" si="9"/>
        <v>28</v>
      </c>
      <c r="BW40" s="237"/>
      <c r="BX40" s="237"/>
    </row>
    <row r="41" spans="1:76" ht="15.75">
      <c r="A41" s="45" t="s">
        <v>61</v>
      </c>
      <c r="C41" s="63" t="s">
        <v>63</v>
      </c>
      <c r="D41" s="144" t="s">
        <v>222</v>
      </c>
      <c r="E41" s="144"/>
      <c r="F41" s="144"/>
      <c r="G41" s="63"/>
      <c r="H41" s="63"/>
      <c r="I41" s="63"/>
      <c r="J41" s="63"/>
      <c r="Z41" s="111" t="s">
        <v>61</v>
      </c>
      <c r="AA41" s="47" t="s">
        <v>61</v>
      </c>
      <c r="AB41" s="47" t="s">
        <v>61</v>
      </c>
      <c r="AC41" s="47" t="s">
        <v>61</v>
      </c>
      <c r="AH41" s="63"/>
      <c r="AI41" s="18" t="s">
        <v>79</v>
      </c>
      <c r="AJ41" s="18"/>
      <c r="AK41" s="273" t="s">
        <v>301</v>
      </c>
      <c r="AL41" s="63"/>
      <c r="AM41" s="63"/>
      <c r="AN41" s="63"/>
      <c r="AO41" s="63"/>
      <c r="AP41" s="63"/>
      <c r="AS41" s="99" t="s">
        <v>86</v>
      </c>
      <c r="AT41" s="99"/>
      <c r="AU41" s="63" t="s">
        <v>101</v>
      </c>
      <c r="AV41" s="63"/>
      <c r="AW41" s="63"/>
      <c r="AZ41" s="100"/>
      <c r="BA41" s="100"/>
      <c r="BB41" s="18" t="s">
        <v>78</v>
      </c>
      <c r="BC41" s="18" t="s">
        <v>117</v>
      </c>
      <c r="BD41" s="18"/>
      <c r="BE41" s="18"/>
      <c r="BF41" s="18"/>
      <c r="BG41" s="18"/>
      <c r="BV41" s="193">
        <f t="shared" si="9"/>
        <v>29</v>
      </c>
      <c r="BW41" s="237"/>
      <c r="BX41" s="237"/>
    </row>
    <row r="42" spans="1:76" ht="12.75">
      <c r="A42" s="45" t="s">
        <v>61</v>
      </c>
      <c r="C42" s="63" t="s">
        <v>65</v>
      </c>
      <c r="D42" s="144" t="s">
        <v>224</v>
      </c>
      <c r="E42" s="144"/>
      <c r="F42" s="144"/>
      <c r="G42" s="63"/>
      <c r="H42" s="63"/>
      <c r="I42" s="63"/>
      <c r="J42" s="63"/>
      <c r="AC42" s="47" t="s">
        <v>61</v>
      </c>
      <c r="AI42" s="100" t="s">
        <v>123</v>
      </c>
      <c r="AJ42" s="100"/>
      <c r="AK42" s="273" t="s">
        <v>300</v>
      </c>
      <c r="AN42" s="63"/>
      <c r="AO42" s="63"/>
      <c r="AP42" s="63"/>
      <c r="AS42" s="99" t="s">
        <v>85</v>
      </c>
      <c r="AT42" s="99"/>
      <c r="AU42" s="63" t="s">
        <v>102</v>
      </c>
      <c r="AV42" s="63"/>
      <c r="AW42" s="63"/>
      <c r="AX42" s="18"/>
      <c r="AY42" s="18"/>
      <c r="AZ42" s="18"/>
      <c r="BA42" s="18"/>
      <c r="BB42" s="63" t="s">
        <v>74</v>
      </c>
      <c r="BC42" s="63" t="s">
        <v>119</v>
      </c>
      <c r="BD42" s="18"/>
      <c r="BE42" s="18"/>
      <c r="BF42" s="18"/>
      <c r="BG42" s="18"/>
      <c r="BV42" s="193">
        <f t="shared" si="9"/>
        <v>30</v>
      </c>
      <c r="BW42" s="237"/>
      <c r="BX42" s="237"/>
    </row>
    <row r="43" spans="1:76" ht="12.75">
      <c r="A43" s="45" t="s">
        <v>61</v>
      </c>
      <c r="C43" s="63" t="s">
        <v>83</v>
      </c>
      <c r="D43" s="144" t="s">
        <v>112</v>
      </c>
      <c r="E43" s="144"/>
      <c r="F43" s="144"/>
      <c r="G43" s="63"/>
      <c r="H43" s="63"/>
      <c r="I43" s="63"/>
      <c r="J43" s="63"/>
      <c r="AC43" s="47" t="s">
        <v>61</v>
      </c>
      <c r="AI43" s="101" t="s">
        <v>163</v>
      </c>
      <c r="AJ43" s="63"/>
      <c r="AK43" s="63" t="s">
        <v>235</v>
      </c>
      <c r="AN43" s="63"/>
      <c r="AO43" s="63"/>
      <c r="AP43" s="63"/>
      <c r="AS43" s="63" t="s">
        <v>79</v>
      </c>
      <c r="AT43" s="63"/>
      <c r="AU43" s="63" t="s">
        <v>108</v>
      </c>
      <c r="AV43" s="63"/>
      <c r="AW43" s="63"/>
      <c r="AX43" s="100"/>
      <c r="AY43" s="100"/>
      <c r="AZ43" s="18"/>
      <c r="BA43" s="18"/>
      <c r="BB43" s="63" t="s">
        <v>80</v>
      </c>
      <c r="BC43" s="63" t="s">
        <v>120</v>
      </c>
      <c r="BD43" s="18"/>
      <c r="BE43" s="18"/>
      <c r="BF43" s="18"/>
      <c r="BG43" s="18"/>
      <c r="BT43" s="195"/>
      <c r="BV43" s="193">
        <f t="shared" si="9"/>
        <v>31</v>
      </c>
      <c r="BW43" s="237"/>
      <c r="BX43" s="237"/>
    </row>
    <row r="44" spans="1:76" ht="15.75">
      <c r="A44" s="45" t="s">
        <v>61</v>
      </c>
      <c r="C44" s="63"/>
      <c r="D44" s="144" t="s">
        <v>109</v>
      </c>
      <c r="E44" s="144"/>
      <c r="F44" s="144"/>
      <c r="G44" s="63"/>
      <c r="H44" s="63"/>
      <c r="I44" s="63"/>
      <c r="J44" s="63"/>
      <c r="AC44" s="47" t="s">
        <v>61</v>
      </c>
      <c r="AI44" s="101" t="s">
        <v>236</v>
      </c>
      <c r="AK44" s="47" t="s">
        <v>240</v>
      </c>
      <c r="AN44" s="63"/>
      <c r="AO44" s="63"/>
      <c r="AP44" s="63"/>
      <c r="AS44" s="99" t="s">
        <v>123</v>
      </c>
      <c r="AT44" s="99"/>
      <c r="AU44" s="63" t="s">
        <v>124</v>
      </c>
      <c r="AV44" s="63"/>
      <c r="AW44" s="63"/>
      <c r="BB44" s="63" t="s">
        <v>76</v>
      </c>
      <c r="BC44" s="63" t="s">
        <v>77</v>
      </c>
      <c r="BD44" s="18"/>
      <c r="BE44" s="18"/>
      <c r="BF44" s="18"/>
      <c r="BG44" s="18"/>
      <c r="BT44" s="195"/>
      <c r="BV44" s="193">
        <f t="shared" si="9"/>
        <v>32</v>
      </c>
      <c r="BW44" s="237"/>
      <c r="BX44" s="237"/>
    </row>
    <row r="45" spans="1:76" ht="15.75">
      <c r="A45" s="45" t="s">
        <v>61</v>
      </c>
      <c r="C45" s="63"/>
      <c r="D45" s="144" t="s">
        <v>110</v>
      </c>
      <c r="E45" s="144"/>
      <c r="F45" s="144"/>
      <c r="G45" s="63"/>
      <c r="H45" s="63"/>
      <c r="I45" s="63"/>
      <c r="J45" s="63"/>
      <c r="AC45" s="47" t="s">
        <v>61</v>
      </c>
      <c r="AI45" s="101" t="s">
        <v>237</v>
      </c>
      <c r="AK45" s="47" t="s">
        <v>241</v>
      </c>
      <c r="AN45" s="63"/>
      <c r="AO45" s="63"/>
      <c r="AP45" s="63"/>
      <c r="BB45" s="63" t="s">
        <v>75</v>
      </c>
      <c r="BC45" s="63" t="s">
        <v>214</v>
      </c>
      <c r="BV45" s="193">
        <f>BV56+1</f>
        <v>40</v>
      </c>
      <c r="BW45" s="237"/>
      <c r="BX45" s="237"/>
    </row>
    <row r="46" spans="1:76" ht="15.75">
      <c r="A46" s="45" t="s">
        <v>61</v>
      </c>
      <c r="C46" s="63"/>
      <c r="D46" s="144" t="s">
        <v>111</v>
      </c>
      <c r="E46" s="144"/>
      <c r="F46" s="144"/>
      <c r="G46" s="63"/>
      <c r="H46" s="63"/>
      <c r="I46" s="63"/>
      <c r="J46" s="63"/>
      <c r="AC46" s="47" t="s">
        <v>61</v>
      </c>
      <c r="AI46" s="101" t="s">
        <v>238</v>
      </c>
      <c r="AK46" s="47" t="s">
        <v>242</v>
      </c>
      <c r="AN46" s="63"/>
      <c r="AO46" s="63"/>
      <c r="AP46" s="63"/>
      <c r="BB46" s="63" t="s">
        <v>212</v>
      </c>
      <c r="BC46" s="63" t="s">
        <v>213</v>
      </c>
      <c r="BV46" s="193">
        <f>BV45+1</f>
        <v>41</v>
      </c>
      <c r="BW46" s="237"/>
      <c r="BX46" s="237"/>
    </row>
    <row r="47" spans="1:76" ht="15.75">
      <c r="A47" s="45" t="s">
        <v>61</v>
      </c>
      <c r="C47" s="63"/>
      <c r="D47" s="144" t="s">
        <v>226</v>
      </c>
      <c r="E47" s="144"/>
      <c r="F47" s="144"/>
      <c r="G47" s="63"/>
      <c r="H47" s="63"/>
      <c r="I47" s="63"/>
      <c r="J47" s="63"/>
      <c r="AC47" s="47" t="s">
        <v>61</v>
      </c>
      <c r="AI47" s="47" t="s">
        <v>258</v>
      </c>
      <c r="AK47" s="47" t="s">
        <v>243</v>
      </c>
      <c r="AN47" s="63"/>
      <c r="AO47" s="63"/>
      <c r="AP47" s="63"/>
      <c r="BV47" s="193">
        <f>BV46+1</f>
        <v>42</v>
      </c>
      <c r="BW47" s="237"/>
      <c r="BX47" s="237"/>
    </row>
    <row r="48" spans="1:76" ht="15.75">
      <c r="A48" s="45" t="s">
        <v>61</v>
      </c>
      <c r="C48" s="64" t="s">
        <v>56</v>
      </c>
      <c r="D48" s="147" t="s">
        <v>225</v>
      </c>
      <c r="E48" s="144"/>
      <c r="F48" s="144"/>
      <c r="G48" s="63"/>
      <c r="H48" s="63"/>
      <c r="I48" s="63"/>
      <c r="J48" s="63"/>
      <c r="AC48" s="47" t="s">
        <v>61</v>
      </c>
      <c r="AI48" s="102" t="s">
        <v>216</v>
      </c>
      <c r="AK48" s="18" t="s">
        <v>244</v>
      </c>
      <c r="AN48" s="63"/>
      <c r="AO48" s="63"/>
      <c r="AP48" s="63"/>
      <c r="BV48" s="193">
        <f>BV47+1</f>
        <v>43</v>
      </c>
      <c r="BW48" s="237"/>
      <c r="BX48" s="237"/>
    </row>
    <row r="49" spans="1:76" ht="12.75">
      <c r="A49" s="45" t="s">
        <v>61</v>
      </c>
      <c r="C49" s="65" t="s">
        <v>217</v>
      </c>
      <c r="D49" s="108" t="s">
        <v>218</v>
      </c>
      <c r="G49" s="63"/>
      <c r="H49" s="63"/>
      <c r="I49" s="63"/>
      <c r="J49" s="63"/>
      <c r="AC49" s="47" t="s">
        <v>61</v>
      </c>
      <c r="AI49" s="47" t="s">
        <v>160</v>
      </c>
      <c r="AK49" s="47" t="s">
        <v>245</v>
      </c>
      <c r="AN49" s="63"/>
      <c r="AO49" s="63"/>
      <c r="AP49" s="63"/>
      <c r="BV49" s="193">
        <f>BV48+1</f>
        <v>44</v>
      </c>
      <c r="BW49" s="237"/>
      <c r="BX49" s="237"/>
    </row>
    <row r="50" spans="1:76" ht="15.75">
      <c r="A50" s="45" t="s">
        <v>61</v>
      </c>
      <c r="D50" s="148" t="s">
        <v>227</v>
      </c>
      <c r="I50" s="63"/>
      <c r="J50" s="63"/>
      <c r="AC50" s="47" t="s">
        <v>61</v>
      </c>
      <c r="AI50" s="47" t="s">
        <v>181</v>
      </c>
      <c r="AK50" s="47" t="s">
        <v>246</v>
      </c>
      <c r="AN50" s="63"/>
      <c r="AO50" s="63"/>
      <c r="AP50" s="63"/>
      <c r="AS50" s="99" t="s">
        <v>105</v>
      </c>
      <c r="AT50" s="99"/>
      <c r="AU50" s="63" t="s">
        <v>106</v>
      </c>
      <c r="AV50" s="63"/>
      <c r="AW50" s="63"/>
      <c r="AX50" s="100"/>
      <c r="AY50" s="100"/>
      <c r="AZ50" s="18"/>
      <c r="BA50" s="18"/>
      <c r="BB50" s="18"/>
      <c r="BC50" s="18"/>
      <c r="BD50" s="18"/>
      <c r="BE50" s="18"/>
      <c r="BF50" s="18"/>
      <c r="BG50" s="18"/>
      <c r="BT50" s="195"/>
      <c r="BV50" s="193">
        <f>BV44+1</f>
        <v>33</v>
      </c>
      <c r="BW50" s="237"/>
      <c r="BX50" s="237"/>
    </row>
    <row r="51" spans="1:76" ht="12.75">
      <c r="A51" s="45" t="s">
        <v>61</v>
      </c>
      <c r="C51" s="66" t="s">
        <v>89</v>
      </c>
      <c r="D51" s="144" t="s">
        <v>228</v>
      </c>
      <c r="E51" s="144"/>
      <c r="F51" s="144"/>
      <c r="G51" s="63"/>
      <c r="H51" s="63"/>
      <c r="I51" s="63"/>
      <c r="J51" s="63"/>
      <c r="AC51" s="47" t="s">
        <v>61</v>
      </c>
      <c r="AI51" s="47" t="s">
        <v>194</v>
      </c>
      <c r="AK51" s="47" t="s">
        <v>247</v>
      </c>
      <c r="AN51" s="63"/>
      <c r="AO51" s="63"/>
      <c r="AP51" s="63"/>
      <c r="AS51" s="99" t="s">
        <v>28</v>
      </c>
      <c r="AT51" s="99"/>
      <c r="AU51" s="63" t="s">
        <v>113</v>
      </c>
      <c r="AV51" s="63"/>
      <c r="AW51" s="63"/>
      <c r="AX51" s="100"/>
      <c r="AY51" s="100"/>
      <c r="AZ51" s="18"/>
      <c r="BA51" s="18"/>
      <c r="BB51" s="18"/>
      <c r="BC51" s="18"/>
      <c r="BD51" s="18"/>
      <c r="BE51" s="18"/>
      <c r="BF51" s="18"/>
      <c r="BG51" s="18"/>
      <c r="BT51" s="195"/>
      <c r="BV51" s="193">
        <f aca="true" t="shared" si="10" ref="BV51:BV77">BV50+1</f>
        <v>34</v>
      </c>
      <c r="BW51" s="237"/>
      <c r="BX51" s="237"/>
    </row>
    <row r="52" spans="1:76" ht="15.75">
      <c r="A52" s="45" t="s">
        <v>61</v>
      </c>
      <c r="C52" s="63" t="s">
        <v>69</v>
      </c>
      <c r="D52" s="144" t="s">
        <v>239</v>
      </c>
      <c r="G52" s="63"/>
      <c r="H52" s="63"/>
      <c r="I52" s="63"/>
      <c r="J52" s="63"/>
      <c r="AC52" s="47" t="s">
        <v>61</v>
      </c>
      <c r="AI52" s="47" t="s">
        <v>195</v>
      </c>
      <c r="AK52" s="47" t="s">
        <v>248</v>
      </c>
      <c r="AN52" s="63"/>
      <c r="AO52" s="63"/>
      <c r="AP52" s="63"/>
      <c r="AS52" s="63"/>
      <c r="AT52" s="63"/>
      <c r="AU52" s="63"/>
      <c r="AV52" s="63"/>
      <c r="AW52" s="63"/>
      <c r="BC52" s="18"/>
      <c r="BD52" s="18"/>
      <c r="BE52" s="18"/>
      <c r="BF52" s="18"/>
      <c r="BG52" s="18"/>
      <c r="BT52" s="195"/>
      <c r="BV52" s="193">
        <f t="shared" si="10"/>
        <v>35</v>
      </c>
      <c r="BW52" s="237"/>
      <c r="BX52" s="237"/>
    </row>
    <row r="53" spans="1:76" ht="12.75">
      <c r="A53" s="45" t="s">
        <v>61</v>
      </c>
      <c r="C53" s="63" t="s">
        <v>67</v>
      </c>
      <c r="D53" s="144" t="s">
        <v>229</v>
      </c>
      <c r="E53" s="144"/>
      <c r="F53" s="144"/>
      <c r="G53" s="63"/>
      <c r="H53" s="63"/>
      <c r="I53" s="63"/>
      <c r="J53" s="63"/>
      <c r="AC53" s="47" t="s">
        <v>61</v>
      </c>
      <c r="AI53" s="47" t="s">
        <v>208</v>
      </c>
      <c r="AK53" s="47" t="s">
        <v>256</v>
      </c>
      <c r="AN53" s="63"/>
      <c r="AO53" s="63"/>
      <c r="AP53" s="63"/>
      <c r="BT53" s="195"/>
      <c r="BV53" s="193">
        <f t="shared" si="10"/>
        <v>36</v>
      </c>
      <c r="BW53" s="237"/>
      <c r="BX53" s="237"/>
    </row>
    <row r="54" spans="1:76" ht="15.75">
      <c r="A54" s="45" t="s">
        <v>61</v>
      </c>
      <c r="C54" s="67" t="s">
        <v>121</v>
      </c>
      <c r="D54" s="144" t="s">
        <v>230</v>
      </c>
      <c r="E54" s="144"/>
      <c r="F54" s="144"/>
      <c r="G54" s="63"/>
      <c r="H54" s="63"/>
      <c r="I54" s="63"/>
      <c r="J54" s="63"/>
      <c r="AC54" s="47" t="s">
        <v>61</v>
      </c>
      <c r="AI54" s="47" t="s">
        <v>249</v>
      </c>
      <c r="AK54" s="47" t="s">
        <v>253</v>
      </c>
      <c r="AN54" s="63"/>
      <c r="AO54" s="63"/>
      <c r="AP54" s="63"/>
      <c r="BT54" s="195"/>
      <c r="BV54" s="193">
        <f t="shared" si="10"/>
        <v>37</v>
      </c>
      <c r="BW54" s="237"/>
      <c r="BX54" s="237"/>
    </row>
    <row r="55" spans="1:76" ht="12.75">
      <c r="A55" s="45" t="s">
        <v>61</v>
      </c>
      <c r="C55" s="63" t="s">
        <v>68</v>
      </c>
      <c r="D55" s="144" t="s">
        <v>231</v>
      </c>
      <c r="E55" s="144"/>
      <c r="F55" s="144"/>
      <c r="G55" s="63"/>
      <c r="H55" s="63"/>
      <c r="I55" s="63"/>
      <c r="J55" s="63"/>
      <c r="AC55" s="47" t="s">
        <v>61</v>
      </c>
      <c r="AI55" s="47" t="s">
        <v>188</v>
      </c>
      <c r="AK55" s="63" t="s">
        <v>251</v>
      </c>
      <c r="AN55" s="63"/>
      <c r="AO55" s="63"/>
      <c r="AP55" s="63"/>
      <c r="BT55" s="195"/>
      <c r="BV55" s="193">
        <f t="shared" si="10"/>
        <v>38</v>
      </c>
      <c r="BW55" s="237"/>
      <c r="BX55" s="237"/>
    </row>
    <row r="56" spans="1:76" ht="15.75">
      <c r="A56" s="45" t="s">
        <v>61</v>
      </c>
      <c r="C56" s="67" t="s">
        <v>122</v>
      </c>
      <c r="D56" s="144" t="s">
        <v>232</v>
      </c>
      <c r="E56" s="144"/>
      <c r="F56" s="144"/>
      <c r="G56" s="63"/>
      <c r="H56" s="63"/>
      <c r="I56" s="63"/>
      <c r="J56" s="63"/>
      <c r="AC56" s="47" t="s">
        <v>61</v>
      </c>
      <c r="AI56" s="47" t="s">
        <v>219</v>
      </c>
      <c r="AK56" s="63" t="s">
        <v>252</v>
      </c>
      <c r="AN56" s="63"/>
      <c r="AO56" s="63"/>
      <c r="AP56" s="63"/>
      <c r="BT56" s="195"/>
      <c r="BV56" s="193">
        <f t="shared" si="10"/>
        <v>39</v>
      </c>
      <c r="BW56" s="237"/>
      <c r="BX56" s="237"/>
    </row>
    <row r="57" spans="1:76" ht="12.75">
      <c r="A57" s="45" t="s">
        <v>61</v>
      </c>
      <c r="C57" s="63" t="s">
        <v>66</v>
      </c>
      <c r="D57" s="144" t="s">
        <v>233</v>
      </c>
      <c r="E57" s="144"/>
      <c r="F57" s="144"/>
      <c r="G57" s="63"/>
      <c r="H57" s="63"/>
      <c r="I57" s="63"/>
      <c r="J57" s="63"/>
      <c r="K57" s="46" t="s">
        <v>61</v>
      </c>
      <c r="AC57" s="47" t="s">
        <v>61</v>
      </c>
      <c r="AI57" s="47" t="s">
        <v>191</v>
      </c>
      <c r="AK57" s="63" t="s">
        <v>250</v>
      </c>
      <c r="AN57" s="63"/>
      <c r="AO57" s="63"/>
      <c r="AP57" s="63"/>
      <c r="BV57" s="193">
        <f>BV49+1</f>
        <v>45</v>
      </c>
      <c r="BW57" s="237"/>
      <c r="BX57" s="237"/>
    </row>
    <row r="58" spans="1:76" ht="15.75">
      <c r="A58" s="45" t="s">
        <v>61</v>
      </c>
      <c r="B58" s="45" t="s">
        <v>61</v>
      </c>
      <c r="C58" s="67" t="s">
        <v>118</v>
      </c>
      <c r="D58" s="144" t="s">
        <v>234</v>
      </c>
      <c r="E58" s="144"/>
      <c r="F58" s="144"/>
      <c r="G58" s="63"/>
      <c r="H58" s="63"/>
      <c r="I58" s="63"/>
      <c r="J58" s="63"/>
      <c r="L58" s="105" t="s">
        <v>61</v>
      </c>
      <c r="M58" s="105"/>
      <c r="N58" s="105"/>
      <c r="O58" s="105"/>
      <c r="P58" s="105" t="s">
        <v>61</v>
      </c>
      <c r="Q58" s="46" t="s">
        <v>61</v>
      </c>
      <c r="R58" s="46" t="s">
        <v>61</v>
      </c>
      <c r="Z58" s="106"/>
      <c r="AA58" s="46" t="s">
        <v>61</v>
      </c>
      <c r="AB58" s="46" t="s">
        <v>61</v>
      </c>
      <c r="AC58" s="47" t="s">
        <v>61</v>
      </c>
      <c r="AG58" s="46"/>
      <c r="AI58" s="47" t="s">
        <v>255</v>
      </c>
      <c r="AK58" s="63" t="s">
        <v>257</v>
      </c>
      <c r="AN58" s="63"/>
      <c r="AO58" s="63"/>
      <c r="AP58" s="63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V58" s="193">
        <f t="shared" si="10"/>
        <v>46</v>
      </c>
      <c r="BW58" s="237"/>
      <c r="BX58" s="237"/>
    </row>
    <row r="59" spans="3:76" ht="12.75">
      <c r="C59" s="63" t="s">
        <v>70</v>
      </c>
      <c r="D59" s="144" t="s">
        <v>261</v>
      </c>
      <c r="E59" s="144"/>
      <c r="F59" s="144"/>
      <c r="G59" s="63"/>
      <c r="H59" s="63"/>
      <c r="I59" s="63"/>
      <c r="J59" s="63"/>
      <c r="AI59" s="63" t="s">
        <v>73</v>
      </c>
      <c r="AK59" s="63" t="s">
        <v>265</v>
      </c>
      <c r="BV59" s="193">
        <f t="shared" si="10"/>
        <v>47</v>
      </c>
      <c r="BW59" s="237"/>
      <c r="BX59" s="237"/>
    </row>
    <row r="60" spans="3:76" ht="15.75">
      <c r="C60" s="63" t="s">
        <v>71</v>
      </c>
      <c r="D60" s="144" t="s">
        <v>262</v>
      </c>
      <c r="E60" s="144"/>
      <c r="F60" s="144"/>
      <c r="G60" s="63"/>
      <c r="H60" s="63"/>
      <c r="I60" s="63"/>
      <c r="J60" s="63"/>
      <c r="AH60" s="101"/>
      <c r="AI60" s="103" t="s">
        <v>215</v>
      </c>
      <c r="AK60" s="63" t="s">
        <v>266</v>
      </c>
      <c r="AL60" s="63"/>
      <c r="AM60" s="63"/>
      <c r="BV60" s="193">
        <f t="shared" si="10"/>
        <v>48</v>
      </c>
      <c r="BW60" s="237"/>
      <c r="BX60" s="237"/>
    </row>
    <row r="61" spans="3:76" ht="15.75">
      <c r="C61" s="63" t="s">
        <v>103</v>
      </c>
      <c r="D61" s="144" t="s">
        <v>104</v>
      </c>
      <c r="E61" s="144"/>
      <c r="F61" s="144"/>
      <c r="I61" s="63"/>
      <c r="J61" s="63"/>
      <c r="S61" s="46" t="s">
        <v>61</v>
      </c>
      <c r="T61" s="46" t="s">
        <v>61</v>
      </c>
      <c r="U61" s="46" t="s">
        <v>61</v>
      </c>
      <c r="V61" s="46" t="s">
        <v>61</v>
      </c>
      <c r="W61" s="46" t="s">
        <v>61</v>
      </c>
      <c r="X61" s="46" t="s">
        <v>61</v>
      </c>
      <c r="Y61" s="46" t="s">
        <v>61</v>
      </c>
      <c r="AH61" s="101"/>
      <c r="AI61" s="63" t="s">
        <v>28</v>
      </c>
      <c r="AJ61" s="63"/>
      <c r="AK61" s="18" t="s">
        <v>254</v>
      </c>
      <c r="AL61" s="63"/>
      <c r="AM61" s="63"/>
      <c r="BV61" s="193">
        <f t="shared" si="10"/>
        <v>49</v>
      </c>
      <c r="BW61" s="237"/>
      <c r="BX61" s="237"/>
    </row>
    <row r="62" spans="34:76" ht="12.75">
      <c r="AH62" s="63"/>
      <c r="AI62" s="63"/>
      <c r="AJ62" s="63"/>
      <c r="AK62" s="63"/>
      <c r="AL62" s="63"/>
      <c r="AM62" s="63"/>
      <c r="BV62" s="193">
        <f t="shared" si="10"/>
        <v>50</v>
      </c>
      <c r="BW62" s="237"/>
      <c r="BX62" s="237"/>
    </row>
    <row r="63" spans="34:76" ht="12.75">
      <c r="AH63" s="63"/>
      <c r="AI63" s="63"/>
      <c r="AJ63" s="63"/>
      <c r="AK63" s="63"/>
      <c r="AL63" s="63"/>
      <c r="AM63" s="63"/>
      <c r="BV63" s="193">
        <f t="shared" si="10"/>
        <v>51</v>
      </c>
      <c r="BW63" s="237"/>
      <c r="BX63" s="237"/>
    </row>
    <row r="64" spans="34:76" ht="12.75">
      <c r="AH64" s="63"/>
      <c r="AI64" s="63"/>
      <c r="AJ64" s="63"/>
      <c r="AK64" s="63"/>
      <c r="AL64" s="63"/>
      <c r="AM64" s="63"/>
      <c r="BV64" s="193">
        <f t="shared" si="10"/>
        <v>52</v>
      </c>
      <c r="BW64" s="237"/>
      <c r="BX64" s="237"/>
    </row>
    <row r="65" spans="34:76" ht="12.75">
      <c r="AH65" s="63"/>
      <c r="AI65" s="63"/>
      <c r="AJ65" s="63"/>
      <c r="AK65" s="63"/>
      <c r="AL65" s="63"/>
      <c r="AM65" s="63"/>
      <c r="BV65" s="193">
        <f t="shared" si="10"/>
        <v>53</v>
      </c>
      <c r="BW65" s="237"/>
      <c r="BX65" s="237"/>
    </row>
    <row r="66" spans="34:76" ht="12.75">
      <c r="AH66" s="63"/>
      <c r="AI66" s="63"/>
      <c r="AM66" s="63"/>
      <c r="BV66" s="193">
        <f t="shared" si="10"/>
        <v>54</v>
      </c>
      <c r="BW66" s="237"/>
      <c r="BX66" s="237"/>
    </row>
    <row r="67" spans="34:76" ht="12.75">
      <c r="AH67" s="63"/>
      <c r="AI67" s="63"/>
      <c r="AJ67" s="63"/>
      <c r="AK67" s="63"/>
      <c r="AL67" s="63"/>
      <c r="AM67" s="63"/>
      <c r="BV67" s="193">
        <f t="shared" si="10"/>
        <v>55</v>
      </c>
      <c r="BW67" s="237"/>
      <c r="BX67" s="237"/>
    </row>
    <row r="68" spans="34:76" ht="12.75">
      <c r="AH68" s="63"/>
      <c r="AI68" s="63"/>
      <c r="AJ68" s="63"/>
      <c r="AK68" s="63"/>
      <c r="AL68" s="63"/>
      <c r="AM68" s="63"/>
      <c r="BV68" s="193">
        <f t="shared" si="10"/>
        <v>56</v>
      </c>
      <c r="BW68" s="237"/>
      <c r="BX68" s="237"/>
    </row>
    <row r="69" spans="34:76" ht="12.75">
      <c r="AH69" s="100"/>
      <c r="AI69" s="18"/>
      <c r="AK69" s="63"/>
      <c r="AL69" s="63"/>
      <c r="AM69" s="63"/>
      <c r="BV69" s="193">
        <f t="shared" si="10"/>
        <v>57</v>
      </c>
      <c r="BW69" s="237"/>
      <c r="BX69" s="237"/>
    </row>
    <row r="70" spans="34:76" ht="12.75">
      <c r="AH70" s="63"/>
      <c r="AI70" s="63"/>
      <c r="AJ70" s="63"/>
      <c r="AK70" s="63"/>
      <c r="AL70" s="63"/>
      <c r="AM70" s="63"/>
      <c r="BV70" s="193">
        <f t="shared" si="10"/>
        <v>58</v>
      </c>
      <c r="BW70" s="237"/>
      <c r="BX70" s="237"/>
    </row>
    <row r="71" spans="34:76" ht="12.75">
      <c r="AH71" s="63"/>
      <c r="AI71" s="63"/>
      <c r="AJ71" s="63"/>
      <c r="AK71" s="63"/>
      <c r="AL71" s="63"/>
      <c r="AM71" s="63"/>
      <c r="BV71" s="193">
        <f t="shared" si="10"/>
        <v>59</v>
      </c>
      <c r="BW71" s="237"/>
      <c r="BX71" s="237"/>
    </row>
    <row r="72" spans="34:76" ht="12.75">
      <c r="AH72" s="63"/>
      <c r="AI72" s="63"/>
      <c r="AJ72" s="63"/>
      <c r="AK72" s="63"/>
      <c r="AL72" s="63"/>
      <c r="AM72" s="63"/>
      <c r="BV72" s="193">
        <f t="shared" si="10"/>
        <v>60</v>
      </c>
      <c r="BW72" s="237"/>
      <c r="BX72" s="237"/>
    </row>
    <row r="73" spans="34:76" ht="12.75">
      <c r="AH73" s="63"/>
      <c r="AI73" s="63"/>
      <c r="AJ73" s="63"/>
      <c r="AK73" s="63"/>
      <c r="AL73" s="63"/>
      <c r="AM73" s="63"/>
      <c r="BV73" s="193">
        <f t="shared" si="10"/>
        <v>61</v>
      </c>
      <c r="BW73" s="237"/>
      <c r="BX73" s="237"/>
    </row>
    <row r="74" spans="34:76" ht="12.75">
      <c r="AH74" s="63"/>
      <c r="AI74" s="63"/>
      <c r="AJ74" s="63"/>
      <c r="AK74" s="63"/>
      <c r="AL74" s="63"/>
      <c r="AM74" s="63"/>
      <c r="BV74" s="193">
        <f t="shared" si="10"/>
        <v>62</v>
      </c>
      <c r="BW74" s="237"/>
      <c r="BX74" s="237"/>
    </row>
    <row r="75" spans="34:76" ht="12.75">
      <c r="AH75" s="64"/>
      <c r="AI75" s="63"/>
      <c r="AJ75" s="63"/>
      <c r="AK75" s="63"/>
      <c r="AL75" s="63"/>
      <c r="AM75" s="63"/>
      <c r="BV75" s="193">
        <f t="shared" si="10"/>
        <v>63</v>
      </c>
      <c r="BW75" s="237"/>
      <c r="BX75" s="237"/>
    </row>
    <row r="76" spans="34:76" ht="12.75">
      <c r="AH76" s="64"/>
      <c r="AI76" s="63"/>
      <c r="AJ76" s="63"/>
      <c r="AK76" s="63"/>
      <c r="AL76" s="63"/>
      <c r="AM76" s="63"/>
      <c r="BV76" s="193">
        <f t="shared" si="10"/>
        <v>64</v>
      </c>
      <c r="BW76" s="237"/>
      <c r="BX76" s="237"/>
    </row>
    <row r="77" spans="74:76" ht="12.75">
      <c r="BV77" s="193">
        <f t="shared" si="10"/>
        <v>65</v>
      </c>
      <c r="BW77" s="237"/>
      <c r="BX77" s="237"/>
    </row>
    <row r="78" spans="74:76" ht="12.75">
      <c r="BV78" s="193">
        <f aca="true" t="shared" si="11" ref="BV78:BV92">BV77+1</f>
        <v>66</v>
      </c>
      <c r="BW78" s="237"/>
      <c r="BX78" s="237"/>
    </row>
    <row r="79" spans="74:76" ht="12.75">
      <c r="BV79" s="193">
        <f t="shared" si="11"/>
        <v>67</v>
      </c>
      <c r="BW79" s="237"/>
      <c r="BX79" s="237"/>
    </row>
    <row r="80" spans="74:76" ht="12.75">
      <c r="BV80" s="193">
        <f t="shared" si="11"/>
        <v>68</v>
      </c>
      <c r="BW80" s="237"/>
      <c r="BX80" s="237"/>
    </row>
    <row r="81" spans="74:76" ht="12.75">
      <c r="BV81" s="193">
        <f t="shared" si="11"/>
        <v>69</v>
      </c>
      <c r="BW81" s="237"/>
      <c r="BX81" s="237"/>
    </row>
    <row r="82" spans="74:76" ht="12.75">
      <c r="BV82" s="193">
        <f t="shared" si="11"/>
        <v>70</v>
      </c>
      <c r="BW82" s="237"/>
      <c r="BX82" s="237"/>
    </row>
    <row r="83" spans="74:76" ht="12.75">
      <c r="BV83" s="193">
        <f t="shared" si="11"/>
        <v>71</v>
      </c>
      <c r="BW83" s="237"/>
      <c r="BX83" s="237"/>
    </row>
    <row r="84" spans="74:76" ht="12.75">
      <c r="BV84" s="193">
        <f t="shared" si="11"/>
        <v>72</v>
      </c>
      <c r="BW84" s="237"/>
      <c r="BX84" s="237"/>
    </row>
    <row r="85" spans="74:76" ht="12.75">
      <c r="BV85" s="193">
        <f t="shared" si="11"/>
        <v>73</v>
      </c>
      <c r="BW85" s="237"/>
      <c r="BX85" s="237"/>
    </row>
    <row r="86" spans="74:76" ht="12.75">
      <c r="BV86" s="193">
        <f t="shared" si="11"/>
        <v>74</v>
      </c>
      <c r="BW86" s="237"/>
      <c r="BX86" s="237"/>
    </row>
    <row r="87" spans="74:76" ht="12.75">
      <c r="BV87" s="193">
        <f t="shared" si="11"/>
        <v>75</v>
      </c>
      <c r="BW87" s="237"/>
      <c r="BX87" s="237"/>
    </row>
    <row r="88" spans="74:76" ht="12.75">
      <c r="BV88" s="193">
        <f t="shared" si="11"/>
        <v>76</v>
      </c>
      <c r="BW88" s="237"/>
      <c r="BX88" s="237"/>
    </row>
    <row r="89" spans="74:76" ht="12.75">
      <c r="BV89" s="193">
        <f t="shared" si="11"/>
        <v>77</v>
      </c>
      <c r="BW89" s="237"/>
      <c r="BX89" s="237"/>
    </row>
    <row r="90" spans="74:76" ht="12.75">
      <c r="BV90" s="193">
        <f t="shared" si="11"/>
        <v>78</v>
      </c>
      <c r="BW90" s="237"/>
      <c r="BX90" s="237"/>
    </row>
    <row r="91" spans="74:76" ht="12.75">
      <c r="BV91" s="193">
        <f t="shared" si="11"/>
        <v>79</v>
      </c>
      <c r="BW91" s="237"/>
      <c r="BX91" s="237"/>
    </row>
    <row r="92" spans="74:76" ht="12.75">
      <c r="BV92" s="193">
        <f t="shared" si="11"/>
        <v>80</v>
      </c>
      <c r="BW92" s="237"/>
      <c r="BX92" s="237"/>
    </row>
    <row r="93" spans="74:76" ht="12.75">
      <c r="BV93" s="237"/>
      <c r="BW93" s="237"/>
      <c r="BX93" s="237"/>
    </row>
  </sheetData>
  <sheetProtection password="E372" sheet="1" objects="1" scenarios="1"/>
  <protectedRanges>
    <protectedRange sqref="D1:F10 G6:G30 D31:F65536" name="Range2"/>
    <protectedRange sqref="L1:AD10 L31:AD65536 L11:O30 Q11:AD30" name="Range1"/>
    <protectedRange sqref="D11:F30" name="Range2_1"/>
    <protectedRange sqref="P11:P30" name="Range1_1"/>
  </protectedRanges>
  <mergeCells count="4">
    <mergeCell ref="BO1:BQ1"/>
    <mergeCell ref="AH2:BQ2"/>
    <mergeCell ref="AH3:BQ3"/>
    <mergeCell ref="AH4:BQ4"/>
  </mergeCells>
  <dataValidations count="1">
    <dataValidation type="list" allowBlank="1" showInputMessage="1" showErrorMessage="1" promptTitle="Yes/No" sqref="L32">
      <formula1>$BV$11:$BV$12</formula1>
    </dataValidation>
  </dataValidations>
  <printOptions horizontalCentered="1" verticalCentered="1"/>
  <pageMargins left="0.25" right="0.25" top="0.5" bottom="0.5" header="0.5" footer="0.5"/>
  <pageSetup horizontalDpi="1200" verticalDpi="1200" orientation="landscape" scale="52" r:id="rId4"/>
  <colBreaks count="1" manualBreakCount="1">
    <brk id="32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5"/>
  <sheetViews>
    <sheetView view="pageBreakPreview" zoomScaleNormal="75" zoomScaleSheetLayoutView="100" zoomScalePageLayoutView="0" workbookViewId="0" topLeftCell="A1">
      <selection activeCell="J16" sqref="J16"/>
    </sheetView>
  </sheetViews>
  <sheetFormatPr defaultColWidth="9.140625" defaultRowHeight="12.75"/>
  <cols>
    <col min="1" max="1" width="1.7109375" style="47" customWidth="1"/>
    <col min="2" max="2" width="6.7109375" style="45" customWidth="1"/>
    <col min="3" max="3" width="8.7109375" style="47" customWidth="1"/>
    <col min="4" max="6" width="8.7109375" style="108" customWidth="1"/>
    <col min="7" max="7" width="9.8515625" style="47" bestFit="1" customWidth="1"/>
    <col min="8" max="9" width="9.7109375" style="47" bestFit="1" customWidth="1"/>
    <col min="10" max="10" width="10.00390625" style="47" customWidth="1"/>
    <col min="11" max="14" width="8.7109375" style="108" hidden="1" customWidth="1"/>
    <col min="15" max="15" width="7.7109375" style="108" hidden="1" customWidth="1"/>
    <col min="16" max="23" width="9.57421875" style="47" hidden="1" customWidth="1"/>
    <col min="24" max="24" width="8.8515625" style="47" hidden="1" customWidth="1"/>
    <col min="25" max="25" width="9.140625" style="111" hidden="1" customWidth="1"/>
    <col min="26" max="26" width="9.421875" style="47" hidden="1" customWidth="1"/>
    <col min="27" max="27" width="9.140625" style="47" hidden="1" customWidth="1"/>
    <col min="28" max="28" width="9.421875" style="47" hidden="1" customWidth="1"/>
    <col min="29" max="29" width="9.140625" style="107" hidden="1" customWidth="1"/>
    <col min="30" max="30" width="3.140625" style="107" hidden="1" customWidth="1"/>
    <col min="31" max="31" width="4.421875" style="45" hidden="1" customWidth="1"/>
    <col min="32" max="32" width="8.8515625" style="47" hidden="1" customWidth="1"/>
    <col min="33" max="34" width="8.8515625" style="47" customWidth="1"/>
    <col min="35" max="35" width="8.8515625" style="47" hidden="1" customWidth="1"/>
    <col min="36" max="36" width="9.00390625" style="47" customWidth="1"/>
    <col min="37" max="37" width="9.7109375" style="47" customWidth="1"/>
    <col min="38" max="43" width="9.00390625" style="47" customWidth="1"/>
    <col min="44" max="44" width="10.28125" style="47" customWidth="1"/>
    <col min="45" max="47" width="9.00390625" style="47" customWidth="1"/>
    <col min="48" max="48" width="10.28125" style="47" customWidth="1"/>
    <col min="49" max="50" width="9.7109375" style="47" customWidth="1"/>
    <col min="51" max="51" width="10.140625" style="47" customWidth="1"/>
    <col min="52" max="53" width="11.8515625" style="47" customWidth="1"/>
    <col min="54" max="54" width="10.00390625" style="47" customWidth="1"/>
    <col min="55" max="61" width="9.00390625" style="47" customWidth="1"/>
    <col min="62" max="67" width="9.28125" style="47" customWidth="1"/>
    <col min="68" max="70" width="3.7109375" style="47" hidden="1" customWidth="1"/>
    <col min="71" max="71" width="8.8515625" style="47" hidden="1" customWidth="1"/>
    <col min="72" max="72" width="11.00390625" style="47" hidden="1" customWidth="1"/>
    <col min="73" max="80" width="9.140625" style="47" hidden="1" customWidth="1"/>
    <col min="81" max="81" width="11.28125" style="47" hidden="1" customWidth="1"/>
    <col min="82" max="82" width="9.140625" style="47" hidden="1" customWidth="1"/>
    <col min="83" max="83" width="9.8515625" style="47" hidden="1" customWidth="1"/>
    <col min="84" max="84" width="14.7109375" style="47" hidden="1" customWidth="1"/>
    <col min="85" max="85" width="10.7109375" style="47" hidden="1" customWidth="1"/>
    <col min="86" max="87" width="9.140625" style="47" hidden="1" customWidth="1"/>
    <col min="88" max="88" width="14.7109375" style="47" hidden="1" customWidth="1"/>
    <col min="89" max="16384" width="9.140625" style="47" customWidth="1"/>
  </cols>
  <sheetData>
    <row r="1" spans="1:71" ht="12.75">
      <c r="A1" s="45" t="s">
        <v>61</v>
      </c>
      <c r="B1" s="45" t="s">
        <v>61</v>
      </c>
      <c r="C1" s="46" t="s">
        <v>61</v>
      </c>
      <c r="D1" s="105" t="s">
        <v>61</v>
      </c>
      <c r="E1" s="105" t="s">
        <v>61</v>
      </c>
      <c r="F1" s="105" t="s">
        <v>61</v>
      </c>
      <c r="G1" s="46" t="s">
        <v>61</v>
      </c>
      <c r="H1" s="46" t="s">
        <v>61</v>
      </c>
      <c r="I1" s="46" t="s">
        <v>61</v>
      </c>
      <c r="J1" s="46" t="s">
        <v>61</v>
      </c>
      <c r="K1" s="105" t="s">
        <v>61</v>
      </c>
      <c r="L1" s="105"/>
      <c r="M1" s="105"/>
      <c r="N1" s="105"/>
      <c r="O1" s="105" t="s">
        <v>61</v>
      </c>
      <c r="P1" s="46" t="s">
        <v>61</v>
      </c>
      <c r="Q1" s="46" t="s">
        <v>61</v>
      </c>
      <c r="R1" s="46" t="s">
        <v>61</v>
      </c>
      <c r="S1" s="46" t="s">
        <v>61</v>
      </c>
      <c r="T1" s="46" t="s">
        <v>61</v>
      </c>
      <c r="U1" s="46" t="s">
        <v>61</v>
      </c>
      <c r="V1" s="46" t="s">
        <v>61</v>
      </c>
      <c r="W1" s="46" t="s">
        <v>61</v>
      </c>
      <c r="X1" s="46"/>
      <c r="Y1" s="106"/>
      <c r="Z1" s="46" t="s">
        <v>61</v>
      </c>
      <c r="AA1" s="46" t="s">
        <v>61</v>
      </c>
      <c r="AB1" s="195" t="s">
        <v>61</v>
      </c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 t="s">
        <v>0</v>
      </c>
      <c r="BQ1" s="46" t="s">
        <v>0</v>
      </c>
      <c r="BR1" s="46" t="s">
        <v>0</v>
      </c>
      <c r="BS1" s="47" t="s">
        <v>1</v>
      </c>
    </row>
    <row r="2" spans="1:67" ht="15.75">
      <c r="A2" s="104" t="s">
        <v>61</v>
      </c>
      <c r="B2" s="278" t="s">
        <v>293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 t="s">
        <v>293</v>
      </c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</row>
    <row r="3" spans="1:67" ht="20.25" customHeight="1">
      <c r="A3" s="45" t="s">
        <v>61</v>
      </c>
      <c r="B3" s="278" t="s">
        <v>287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 t="s">
        <v>287</v>
      </c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</row>
    <row r="4" spans="1:67" ht="18">
      <c r="A4" s="45" t="s">
        <v>61</v>
      </c>
      <c r="I4" s="70"/>
      <c r="J4" s="112"/>
      <c r="K4" s="71"/>
      <c r="L4" s="71"/>
      <c r="M4" s="71"/>
      <c r="N4" s="71"/>
      <c r="O4" s="71"/>
      <c r="P4" s="71"/>
      <c r="Q4" s="71"/>
      <c r="T4" s="199"/>
      <c r="U4" s="199"/>
      <c r="V4" s="71"/>
      <c r="Z4" s="63"/>
      <c r="AB4" s="47" t="s">
        <v>61</v>
      </c>
      <c r="AQ4" s="240" t="s">
        <v>192</v>
      </c>
      <c r="AR4" s="73"/>
      <c r="AT4" s="240" t="s">
        <v>192</v>
      </c>
      <c r="AU4" s="73"/>
      <c r="BA4" s="239"/>
      <c r="BL4" s="241"/>
      <c r="BM4" s="199"/>
      <c r="BN4" s="199"/>
      <c r="BO4" s="199"/>
    </row>
    <row r="5" spans="1:88" ht="15">
      <c r="A5" s="45" t="s">
        <v>61</v>
      </c>
      <c r="B5" s="48"/>
      <c r="C5" s="6"/>
      <c r="D5" s="200"/>
      <c r="E5" s="200" t="s">
        <v>61</v>
      </c>
      <c r="F5" s="200"/>
      <c r="G5" s="6"/>
      <c r="H5" s="6"/>
      <c r="I5" s="6"/>
      <c r="J5" s="6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6"/>
      <c r="X5" s="6"/>
      <c r="Y5" s="113"/>
      <c r="Z5" s="6"/>
      <c r="AA5" s="6"/>
      <c r="AB5" s="47" t="s">
        <v>61</v>
      </c>
      <c r="AK5" s="203" t="s">
        <v>190</v>
      </c>
      <c r="AL5" s="204"/>
      <c r="AM5" s="204"/>
      <c r="AN5" s="205"/>
      <c r="AQ5" s="68" t="s">
        <v>198</v>
      </c>
      <c r="AR5" s="69"/>
      <c r="AS5" s="3"/>
      <c r="AT5" s="68" t="s">
        <v>199</v>
      </c>
      <c r="AU5" s="69"/>
      <c r="AV5" s="3"/>
      <c r="AW5" s="3"/>
      <c r="AX5" s="3"/>
      <c r="AY5" s="3"/>
      <c r="AZ5" s="3"/>
      <c r="BA5" s="3"/>
      <c r="BL5" s="70"/>
      <c r="BM5" s="71"/>
      <c r="BN5" s="71"/>
      <c r="BO5" s="71"/>
      <c r="BS5" s="47" t="s">
        <v>1</v>
      </c>
      <c r="BW5" s="203" t="s">
        <v>147</v>
      </c>
      <c r="BX5" s="204"/>
      <c r="BY5" s="204"/>
      <c r="BZ5" s="204"/>
      <c r="CA5" s="205"/>
      <c r="CB5" s="204"/>
      <c r="CC5" s="203" t="s">
        <v>203</v>
      </c>
      <c r="CD5" s="204"/>
      <c r="CE5" s="204"/>
      <c r="CF5" s="204"/>
      <c r="CG5" s="203" t="s">
        <v>157</v>
      </c>
      <c r="CH5" s="204"/>
      <c r="CI5" s="204"/>
      <c r="CJ5" s="204"/>
    </row>
    <row r="6" spans="1:88" ht="14.25">
      <c r="A6" s="45" t="s">
        <v>61</v>
      </c>
      <c r="B6" s="35"/>
      <c r="C6" s="36"/>
      <c r="D6" s="206"/>
      <c r="E6" s="12"/>
      <c r="F6" s="206"/>
      <c r="G6" s="36"/>
      <c r="H6" s="36"/>
      <c r="I6" s="36"/>
      <c r="J6" s="36"/>
      <c r="K6" s="206"/>
      <c r="L6" s="206"/>
      <c r="M6" s="206"/>
      <c r="N6" s="206"/>
      <c r="O6" s="207" t="s">
        <v>2</v>
      </c>
      <c r="P6" s="208"/>
      <c r="Q6" s="208"/>
      <c r="R6" s="209" t="s">
        <v>2</v>
      </c>
      <c r="S6" s="208"/>
      <c r="T6" s="208"/>
      <c r="U6" s="209" t="s">
        <v>2</v>
      </c>
      <c r="V6" s="208"/>
      <c r="W6" s="209" t="s">
        <v>7</v>
      </c>
      <c r="X6" s="3"/>
      <c r="Y6" s="115"/>
      <c r="Z6" s="208"/>
      <c r="AA6" s="208"/>
      <c r="AB6" s="47" t="s">
        <v>61</v>
      </c>
      <c r="AC6" s="116"/>
      <c r="AG6" s="36"/>
      <c r="AH6" s="36"/>
      <c r="AI6" s="72"/>
      <c r="AJ6" s="72"/>
      <c r="AK6" s="242"/>
      <c r="AL6" s="242"/>
      <c r="AM6" s="242"/>
      <c r="AN6" s="24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3"/>
      <c r="BH6" s="73"/>
      <c r="BI6" s="73"/>
      <c r="BJ6" s="73"/>
      <c r="BK6" s="74"/>
      <c r="BL6" s="36"/>
      <c r="BM6" s="74"/>
      <c r="BN6" s="75"/>
      <c r="BO6" s="75"/>
      <c r="BP6" s="155"/>
      <c r="BQ6" s="155" t="s">
        <v>3</v>
      </c>
      <c r="BR6" s="155" t="s">
        <v>4</v>
      </c>
      <c r="BS6" s="74" t="s">
        <v>1</v>
      </c>
      <c r="BT6" s="210" t="s">
        <v>142</v>
      </c>
      <c r="BU6" s="211" t="s">
        <v>134</v>
      </c>
      <c r="BV6" s="210" t="s">
        <v>136</v>
      </c>
      <c r="BW6" s="212" t="s">
        <v>143</v>
      </c>
      <c r="BX6" s="154" t="s">
        <v>148</v>
      </c>
      <c r="BY6" s="154" t="s">
        <v>148</v>
      </c>
      <c r="BZ6" s="154" t="s">
        <v>143</v>
      </c>
      <c r="CA6" s="154" t="s">
        <v>148</v>
      </c>
      <c r="CB6" s="154" t="s">
        <v>186</v>
      </c>
      <c r="CC6" s="36" t="s">
        <v>154</v>
      </c>
      <c r="CD6" s="36" t="s">
        <v>200</v>
      </c>
      <c r="CE6" s="36" t="s">
        <v>206</v>
      </c>
      <c r="CF6" s="36" t="s">
        <v>156</v>
      </c>
      <c r="CG6" s="36" t="s">
        <v>154</v>
      </c>
      <c r="CH6" s="36" t="s">
        <v>205</v>
      </c>
      <c r="CI6" s="36" t="s">
        <v>207</v>
      </c>
      <c r="CJ6" s="36" t="s">
        <v>264</v>
      </c>
    </row>
    <row r="7" spans="1:88" ht="12.75">
      <c r="A7" s="45" t="s">
        <v>61</v>
      </c>
      <c r="B7" s="37"/>
      <c r="C7" s="38" t="s">
        <v>61</v>
      </c>
      <c r="D7" s="213" t="s">
        <v>2</v>
      </c>
      <c r="E7" s="13" t="s">
        <v>2</v>
      </c>
      <c r="F7" s="213" t="s">
        <v>2</v>
      </c>
      <c r="G7" s="39" t="s">
        <v>5</v>
      </c>
      <c r="H7" s="39" t="s">
        <v>93</v>
      </c>
      <c r="I7" s="76"/>
      <c r="J7" s="39" t="s">
        <v>6</v>
      </c>
      <c r="K7" s="213" t="s">
        <v>2</v>
      </c>
      <c r="L7" s="213" t="s">
        <v>2</v>
      </c>
      <c r="M7" s="213"/>
      <c r="N7" s="213"/>
      <c r="O7" s="214" t="s">
        <v>87</v>
      </c>
      <c r="P7" s="215" t="s">
        <v>2</v>
      </c>
      <c r="Q7" s="215" t="s">
        <v>2</v>
      </c>
      <c r="R7" s="216" t="s">
        <v>57</v>
      </c>
      <c r="S7" s="215" t="s">
        <v>2</v>
      </c>
      <c r="T7" s="215" t="s">
        <v>2</v>
      </c>
      <c r="U7" s="216" t="s">
        <v>57</v>
      </c>
      <c r="V7" s="215" t="s">
        <v>2</v>
      </c>
      <c r="W7" s="216" t="s">
        <v>57</v>
      </c>
      <c r="X7" s="84" t="s">
        <v>2</v>
      </c>
      <c r="Y7" s="115"/>
      <c r="Z7" s="215" t="s">
        <v>2</v>
      </c>
      <c r="AA7" s="215" t="s">
        <v>2</v>
      </c>
      <c r="AB7" s="47" t="s">
        <v>61</v>
      </c>
      <c r="AC7" s="118"/>
      <c r="AG7" s="76"/>
      <c r="AH7" s="39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78"/>
      <c r="BI7" s="78"/>
      <c r="BJ7" s="78"/>
      <c r="BK7" s="3"/>
      <c r="BL7" s="76"/>
      <c r="BM7" s="3"/>
      <c r="BN7" s="79"/>
      <c r="BO7" s="79"/>
      <c r="BP7" s="84" t="s">
        <v>8</v>
      </c>
      <c r="BQ7" s="84" t="s">
        <v>9</v>
      </c>
      <c r="BR7" s="84" t="s">
        <v>10</v>
      </c>
      <c r="BS7" s="3" t="s">
        <v>1</v>
      </c>
      <c r="BT7" s="86" t="s">
        <v>139</v>
      </c>
      <c r="BU7" s="217" t="s">
        <v>131</v>
      </c>
      <c r="BV7" s="86" t="s">
        <v>137</v>
      </c>
      <c r="BW7" s="218" t="s">
        <v>144</v>
      </c>
      <c r="BX7" s="39" t="s">
        <v>144</v>
      </c>
      <c r="BY7" s="84" t="s">
        <v>145</v>
      </c>
      <c r="BZ7" s="39" t="s">
        <v>146</v>
      </c>
      <c r="CA7" s="82" t="s">
        <v>146</v>
      </c>
      <c r="CB7" s="82" t="s">
        <v>146</v>
      </c>
      <c r="CC7" s="219" t="s">
        <v>155</v>
      </c>
      <c r="CD7" s="76"/>
      <c r="CE7" s="76"/>
      <c r="CF7" s="76"/>
      <c r="CG7" s="219" t="s">
        <v>204</v>
      </c>
      <c r="CH7" s="76"/>
      <c r="CI7" s="76"/>
      <c r="CJ7" s="76"/>
    </row>
    <row r="8" spans="1:88" ht="15.75">
      <c r="A8" s="45" t="s">
        <v>61</v>
      </c>
      <c r="B8" s="37"/>
      <c r="C8" s="39" t="s">
        <v>81</v>
      </c>
      <c r="D8" s="214" t="s">
        <v>11</v>
      </c>
      <c r="E8" s="14" t="s">
        <v>12</v>
      </c>
      <c r="F8" s="214" t="s">
        <v>13</v>
      </c>
      <c r="G8" s="39" t="s">
        <v>14</v>
      </c>
      <c r="H8" s="39" t="s">
        <v>94</v>
      </c>
      <c r="I8" s="39" t="s">
        <v>15</v>
      </c>
      <c r="J8" s="39" t="s">
        <v>107</v>
      </c>
      <c r="K8" s="220" t="s">
        <v>56</v>
      </c>
      <c r="L8" s="220" t="s">
        <v>217</v>
      </c>
      <c r="M8" s="221" t="s">
        <v>184</v>
      </c>
      <c r="N8" s="221" t="s">
        <v>185</v>
      </c>
      <c r="O8" s="214" t="s">
        <v>89</v>
      </c>
      <c r="P8" s="222" t="s">
        <v>90</v>
      </c>
      <c r="Q8" s="222" t="s">
        <v>91</v>
      </c>
      <c r="R8" s="222" t="s">
        <v>16</v>
      </c>
      <c r="S8" s="222" t="s">
        <v>17</v>
      </c>
      <c r="T8" s="222" t="s">
        <v>92</v>
      </c>
      <c r="U8" s="222" t="s">
        <v>18</v>
      </c>
      <c r="V8" s="222" t="s">
        <v>19</v>
      </c>
      <c r="W8" s="222" t="s">
        <v>20</v>
      </c>
      <c r="X8" s="84" t="s">
        <v>21</v>
      </c>
      <c r="Y8" s="223" t="s">
        <v>2</v>
      </c>
      <c r="Z8" s="222" t="s">
        <v>22</v>
      </c>
      <c r="AA8" s="222" t="s">
        <v>23</v>
      </c>
      <c r="AB8" s="47" t="s">
        <v>61</v>
      </c>
      <c r="AC8" s="118"/>
      <c r="AG8" s="39" t="s">
        <v>24</v>
      </c>
      <c r="AH8" s="39" t="s">
        <v>126</v>
      </c>
      <c r="AI8" s="77" t="s">
        <v>125</v>
      </c>
      <c r="AJ8" s="77" t="s">
        <v>163</v>
      </c>
      <c r="AK8" s="77" t="s">
        <v>178</v>
      </c>
      <c r="AL8" s="77" t="s">
        <v>179</v>
      </c>
      <c r="AM8" s="77" t="s">
        <v>180</v>
      </c>
      <c r="AN8" s="77" t="s">
        <v>220</v>
      </c>
      <c r="AO8" s="81" t="s">
        <v>216</v>
      </c>
      <c r="AP8" s="77" t="s">
        <v>160</v>
      </c>
      <c r="AQ8" s="77" t="s">
        <v>162</v>
      </c>
      <c r="AR8" s="77" t="s">
        <v>161</v>
      </c>
      <c r="AS8" s="77" t="s">
        <v>181</v>
      </c>
      <c r="AT8" s="77" t="s">
        <v>182</v>
      </c>
      <c r="AU8" s="77" t="s">
        <v>183</v>
      </c>
      <c r="AV8" s="77" t="s">
        <v>194</v>
      </c>
      <c r="AW8" s="77" t="s">
        <v>195</v>
      </c>
      <c r="AX8" s="77" t="s">
        <v>208</v>
      </c>
      <c r="AY8" s="77" t="s">
        <v>85</v>
      </c>
      <c r="AZ8" s="77" t="s">
        <v>188</v>
      </c>
      <c r="BA8" s="77" t="s">
        <v>219</v>
      </c>
      <c r="BB8" s="77" t="s">
        <v>191</v>
      </c>
      <c r="BC8" s="77" t="s">
        <v>27</v>
      </c>
      <c r="BD8" s="77" t="s">
        <v>86</v>
      </c>
      <c r="BE8" s="77" t="s">
        <v>28</v>
      </c>
      <c r="BF8" s="77" t="s">
        <v>84</v>
      </c>
      <c r="BG8" s="82" t="s">
        <v>29</v>
      </c>
      <c r="BH8" s="82" t="s">
        <v>116</v>
      </c>
      <c r="BI8" s="82" t="s">
        <v>30</v>
      </c>
      <c r="BJ8" s="83" t="s">
        <v>58</v>
      </c>
      <c r="BK8" s="84" t="s">
        <v>25</v>
      </c>
      <c r="BL8" s="85" t="s">
        <v>59</v>
      </c>
      <c r="BM8" s="84" t="s">
        <v>26</v>
      </c>
      <c r="BN8" s="86" t="s">
        <v>130</v>
      </c>
      <c r="BO8" s="86" t="s">
        <v>129</v>
      </c>
      <c r="BP8" s="84" t="s">
        <v>31</v>
      </c>
      <c r="BQ8" s="84" t="s">
        <v>32</v>
      </c>
      <c r="BR8" s="84" t="s">
        <v>33</v>
      </c>
      <c r="BS8" s="3" t="s">
        <v>1</v>
      </c>
      <c r="BT8" s="86" t="s">
        <v>140</v>
      </c>
      <c r="BU8" s="217" t="s">
        <v>132</v>
      </c>
      <c r="BV8" s="86" t="s">
        <v>129</v>
      </c>
      <c r="BW8" s="224"/>
      <c r="BX8" s="76"/>
      <c r="BY8" s="3"/>
      <c r="BZ8" s="76"/>
      <c r="CA8" s="78"/>
      <c r="CB8" s="78"/>
      <c r="CC8" s="76"/>
      <c r="CD8" s="76"/>
      <c r="CE8" s="76"/>
      <c r="CF8" s="76"/>
      <c r="CG8" s="76"/>
      <c r="CH8" s="76"/>
      <c r="CI8" s="76"/>
      <c r="CJ8" s="76"/>
    </row>
    <row r="9" spans="1:88" ht="12.75">
      <c r="A9" s="45" t="s">
        <v>61</v>
      </c>
      <c r="B9" s="37"/>
      <c r="C9" s="39" t="s">
        <v>34</v>
      </c>
      <c r="D9" s="214" t="s">
        <v>34</v>
      </c>
      <c r="E9" s="14" t="s">
        <v>34</v>
      </c>
      <c r="F9" s="214" t="s">
        <v>34</v>
      </c>
      <c r="G9" s="39" t="s">
        <v>83</v>
      </c>
      <c r="H9" s="39" t="s">
        <v>83</v>
      </c>
      <c r="I9" s="39" t="s">
        <v>83</v>
      </c>
      <c r="J9" s="39" t="s">
        <v>83</v>
      </c>
      <c r="K9" s="214" t="s">
        <v>35</v>
      </c>
      <c r="L9" s="214" t="s">
        <v>34</v>
      </c>
      <c r="M9" s="214"/>
      <c r="N9" s="214"/>
      <c r="O9" s="214" t="s">
        <v>34</v>
      </c>
      <c r="P9" s="222" t="s">
        <v>36</v>
      </c>
      <c r="Q9" s="222" t="s">
        <v>36</v>
      </c>
      <c r="R9" s="222" t="s">
        <v>35</v>
      </c>
      <c r="S9" s="222" t="s">
        <v>37</v>
      </c>
      <c r="T9" s="222" t="s">
        <v>36</v>
      </c>
      <c r="U9" s="222" t="s">
        <v>35</v>
      </c>
      <c r="V9" s="222" t="s">
        <v>37</v>
      </c>
      <c r="W9" s="222" t="s">
        <v>35</v>
      </c>
      <c r="X9" s="84" t="s">
        <v>35</v>
      </c>
      <c r="Y9" s="223" t="s">
        <v>38</v>
      </c>
      <c r="Z9" s="222" t="s">
        <v>37</v>
      </c>
      <c r="AA9" s="222" t="s">
        <v>37</v>
      </c>
      <c r="AB9" s="47" t="s">
        <v>61</v>
      </c>
      <c r="AC9" s="118" t="s">
        <v>88</v>
      </c>
      <c r="AG9" s="39" t="s">
        <v>37</v>
      </c>
      <c r="AH9" s="39" t="s">
        <v>37</v>
      </c>
      <c r="AI9" s="77" t="s">
        <v>37</v>
      </c>
      <c r="AJ9" s="77" t="s">
        <v>34</v>
      </c>
      <c r="AK9" s="77" t="s">
        <v>159</v>
      </c>
      <c r="AL9" s="77" t="s">
        <v>159</v>
      </c>
      <c r="AM9" s="77" t="s">
        <v>159</v>
      </c>
      <c r="AN9" s="77" t="s">
        <v>159</v>
      </c>
      <c r="AO9" s="77" t="s">
        <v>35</v>
      </c>
      <c r="AP9" s="77" t="s">
        <v>159</v>
      </c>
      <c r="AQ9" s="77" t="s">
        <v>159</v>
      </c>
      <c r="AR9" s="77" t="s">
        <v>159</v>
      </c>
      <c r="AS9" s="77" t="s">
        <v>159</v>
      </c>
      <c r="AT9" s="77" t="s">
        <v>159</v>
      </c>
      <c r="AU9" s="77" t="s">
        <v>159</v>
      </c>
      <c r="AV9" s="77" t="s">
        <v>159</v>
      </c>
      <c r="AW9" s="77" t="s">
        <v>159</v>
      </c>
      <c r="AX9" s="77" t="s">
        <v>159</v>
      </c>
      <c r="AY9" s="77" t="s">
        <v>159</v>
      </c>
      <c r="AZ9" s="77" t="s">
        <v>189</v>
      </c>
      <c r="BA9" s="77"/>
      <c r="BB9" s="77" t="s">
        <v>189</v>
      </c>
      <c r="BC9" s="77" t="s">
        <v>34</v>
      </c>
      <c r="BD9" s="77" t="s">
        <v>34</v>
      </c>
      <c r="BE9" s="77" t="s">
        <v>34</v>
      </c>
      <c r="BF9" s="77" t="s">
        <v>34</v>
      </c>
      <c r="BG9" s="82" t="s">
        <v>18</v>
      </c>
      <c r="BH9" s="82" t="s">
        <v>18</v>
      </c>
      <c r="BI9" s="82" t="s">
        <v>18</v>
      </c>
      <c r="BJ9" s="82" t="s">
        <v>35</v>
      </c>
      <c r="BK9" s="84" t="s">
        <v>16</v>
      </c>
      <c r="BL9" s="39" t="s">
        <v>35</v>
      </c>
      <c r="BM9" s="84" t="s">
        <v>16</v>
      </c>
      <c r="BN9" s="86" t="s">
        <v>35</v>
      </c>
      <c r="BO9" s="86" t="s">
        <v>16</v>
      </c>
      <c r="BP9" s="84" t="s">
        <v>12</v>
      </c>
      <c r="BQ9" s="84" t="s">
        <v>39</v>
      </c>
      <c r="BR9" s="84" t="s">
        <v>40</v>
      </c>
      <c r="BS9" s="3" t="s">
        <v>1</v>
      </c>
      <c r="BT9" s="86" t="s">
        <v>141</v>
      </c>
      <c r="BU9" s="217" t="s">
        <v>133</v>
      </c>
      <c r="BV9" s="86" t="s">
        <v>138</v>
      </c>
      <c r="BW9" s="225" t="s">
        <v>149</v>
      </c>
      <c r="BX9" s="219" t="s">
        <v>150</v>
      </c>
      <c r="BY9" s="226" t="s">
        <v>151</v>
      </c>
      <c r="BZ9" s="219" t="s">
        <v>152</v>
      </c>
      <c r="CA9" s="227" t="s">
        <v>153</v>
      </c>
      <c r="CB9" s="227"/>
      <c r="CC9" s="76"/>
      <c r="CD9" s="76"/>
      <c r="CE9" s="76"/>
      <c r="CF9" s="39" t="s">
        <v>201</v>
      </c>
      <c r="CG9" s="76"/>
      <c r="CH9" s="76"/>
      <c r="CI9" s="76"/>
      <c r="CJ9" s="39" t="s">
        <v>202</v>
      </c>
    </row>
    <row r="10" spans="1:88" ht="12.75">
      <c r="A10" s="45" t="s">
        <v>61</v>
      </c>
      <c r="B10" s="40"/>
      <c r="C10" s="41" t="s">
        <v>61</v>
      </c>
      <c r="D10" s="228" t="s">
        <v>61</v>
      </c>
      <c r="E10" s="15" t="s">
        <v>61</v>
      </c>
      <c r="F10" s="228" t="s">
        <v>61</v>
      </c>
      <c r="G10" s="41" t="s">
        <v>114</v>
      </c>
      <c r="H10" s="41" t="s">
        <v>115</v>
      </c>
      <c r="I10" s="41" t="s">
        <v>114</v>
      </c>
      <c r="J10" s="41" t="s">
        <v>114</v>
      </c>
      <c r="K10" s="228" t="s">
        <v>61</v>
      </c>
      <c r="L10" s="228"/>
      <c r="M10" s="228"/>
      <c r="N10" s="228"/>
      <c r="O10" s="229" t="s">
        <v>61</v>
      </c>
      <c r="P10" s="230" t="s">
        <v>61</v>
      </c>
      <c r="Q10" s="229" t="s">
        <v>61</v>
      </c>
      <c r="R10" s="230" t="s">
        <v>61</v>
      </c>
      <c r="S10" s="229" t="s">
        <v>61</v>
      </c>
      <c r="T10" s="230" t="s">
        <v>61</v>
      </c>
      <c r="U10" s="229" t="s">
        <v>61</v>
      </c>
      <c r="V10" s="229" t="s">
        <v>61</v>
      </c>
      <c r="W10" s="229" t="s">
        <v>61</v>
      </c>
      <c r="X10" s="231"/>
      <c r="Y10" s="232"/>
      <c r="Z10" s="229" t="s">
        <v>61</v>
      </c>
      <c r="AA10" s="229" t="s">
        <v>61</v>
      </c>
      <c r="AB10" s="47" t="s">
        <v>61</v>
      </c>
      <c r="AC10" s="121"/>
      <c r="AD10" s="104"/>
      <c r="AG10" s="41"/>
      <c r="AH10" s="41"/>
      <c r="AI10" s="88" t="s">
        <v>61</v>
      </c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9"/>
      <c r="BH10" s="89"/>
      <c r="BI10" s="89"/>
      <c r="BJ10" s="89"/>
      <c r="BK10" s="90"/>
      <c r="BL10" s="41"/>
      <c r="BM10" s="90"/>
      <c r="BN10" s="91"/>
      <c r="BO10" s="91"/>
      <c r="BP10" s="90"/>
      <c r="BQ10" s="90"/>
      <c r="BR10" s="90"/>
      <c r="BS10" s="6" t="s">
        <v>1</v>
      </c>
      <c r="BT10" s="91"/>
      <c r="BU10" s="233" t="s">
        <v>135</v>
      </c>
      <c r="BV10" s="91" t="s">
        <v>158</v>
      </c>
      <c r="BW10" s="68"/>
      <c r="BX10" s="234"/>
      <c r="BY10" s="6"/>
      <c r="BZ10" s="234"/>
      <c r="CA10" s="69"/>
      <c r="CB10" s="69"/>
      <c r="CC10" s="234"/>
      <c r="CD10" s="234"/>
      <c r="CE10" s="234"/>
      <c r="CF10" s="234"/>
      <c r="CG10" s="234"/>
      <c r="CH10" s="234"/>
      <c r="CI10" s="234"/>
      <c r="CJ10" s="234"/>
    </row>
    <row r="11" spans="1:88" ht="15.75">
      <c r="A11" s="45" t="s">
        <v>61</v>
      </c>
      <c r="B11" s="42">
        <v>1</v>
      </c>
      <c r="C11" s="10">
        <f>D11+E11</f>
        <v>10</v>
      </c>
      <c r="D11" s="150">
        <f>'INPUT AND RESULTS'!D11</f>
        <v>8</v>
      </c>
      <c r="E11" s="150">
        <f>'INPUT AND RESULTS'!E11</f>
        <v>2</v>
      </c>
      <c r="F11" s="150">
        <f>'INPUT AND RESULTS'!F11</f>
        <v>8</v>
      </c>
      <c r="G11" s="9">
        <f>AZ11/BB11</f>
        <v>2.0945454545454547</v>
      </c>
      <c r="H11" s="9">
        <f>BC11/BF11</f>
        <v>0.9548611111111109</v>
      </c>
      <c r="I11" s="9">
        <f>AW11/AV11</f>
        <v>1.1876919823329444</v>
      </c>
      <c r="J11" s="9">
        <f>AH11/AG11</f>
        <v>1.7118777863941916</v>
      </c>
      <c r="K11" s="150">
        <f>'INPUT AND RESULTS'!L11</f>
        <v>0</v>
      </c>
      <c r="L11" s="43">
        <f>'INPUT AND RESULTS'!M11</f>
        <v>200</v>
      </c>
      <c r="M11" s="151">
        <f>'INPUT AND RESULTS'!N11</f>
        <v>0</v>
      </c>
      <c r="N11" s="151">
        <f>'INPUT AND RESULTS'!O11</f>
        <v>1</v>
      </c>
      <c r="O11" s="150">
        <f>'INPUT AND RESULTS'!P11</f>
        <v>0</v>
      </c>
      <c r="P11" s="150">
        <f>'INPUT AND RESULTS'!Q11</f>
        <v>105</v>
      </c>
      <c r="Q11" s="150">
        <f>'INPUT AND RESULTS'!R11</f>
        <v>105</v>
      </c>
      <c r="R11" s="150">
        <f>'INPUT AND RESULTS'!S11</f>
        <v>30</v>
      </c>
      <c r="S11" s="150">
        <f>'INPUT AND RESULTS'!T11</f>
        <v>0</v>
      </c>
      <c r="T11" s="150">
        <f>'INPUT AND RESULTS'!U11</f>
        <v>105</v>
      </c>
      <c r="U11" s="150">
        <f>'INPUT AND RESULTS'!V11</f>
        <v>30</v>
      </c>
      <c r="V11" s="150">
        <f>'INPUT AND RESULTS'!W11</f>
        <v>0</v>
      </c>
      <c r="W11" s="150">
        <f>'INPUT AND RESULTS'!X11</f>
        <v>30</v>
      </c>
      <c r="X11" s="150">
        <f>'INPUT AND RESULTS'!Y11</f>
        <v>90</v>
      </c>
      <c r="Y11" s="150" t="s">
        <v>187</v>
      </c>
      <c r="Z11" s="150">
        <f>'INPUT AND RESULTS'!AA11</f>
        <v>250</v>
      </c>
      <c r="AA11" s="150">
        <f>'INPUT AND RESULTS'!AB11</f>
        <v>250</v>
      </c>
      <c r="AB11" s="47" t="s">
        <v>61</v>
      </c>
      <c r="AC11" s="49">
        <f aca="true" t="shared" si="0" ref="AC11:AC30">IF(O11&gt;(1.5*F11),1,0.5+O11/3/F11)</f>
        <v>0.5</v>
      </c>
      <c r="AF11" s="104"/>
      <c r="AG11" s="24">
        <f>AY11/(F11-2*BD11)</f>
        <v>2243.6229205175596</v>
      </c>
      <c r="AH11" s="26">
        <f>V11*BG11*'Load and Resistance Factors'!$E$11+0.5*(F11-2*BD11)*T11*BI11*'Load and Resistance Factors'!$E$11*AC11+T11*E11*BH11*'Load and Resistance Factors'!$E$11</f>
        <v>3840.808238678871</v>
      </c>
      <c r="AI11" s="24">
        <v>0</v>
      </c>
      <c r="AJ11" s="21" t="str">
        <f>IF(K11=0,"---",IF(L11&gt;=F11,C11+(F11*(TAN(RADIANS(K11)))),(C11+(L11*(TAN(RADIANS(K11)))))))</f>
        <v>---</v>
      </c>
      <c r="AK11" s="24">
        <f>(P11*C11*F11*'Load and Resistance Factors'!$B$6)</f>
        <v>8400</v>
      </c>
      <c r="AL11" s="24" t="str">
        <f>IF(K11=0,"---",IF(L11&gt;=F11,(0.5*P11*(AJ11-C11)*F11*'Load and Resistance Factors'!$B$6),(0.5*P11*(L11*(TAN(RADIANS(K11)))*L11*'Load and Resistance Factors'!$B$6))))</f>
        <v>---</v>
      </c>
      <c r="AM11" s="24" t="str">
        <f>IF(K11=0,"---",IF(L11&gt;=F11,"---",(P11*(L11*(TAN(RADIANS(K11))))*(F11-L11)*'Load and Resistance Factors'!$B$6)))</f>
        <v>---</v>
      </c>
      <c r="AN11" s="24">
        <f>IF(K11=0,Z11*F11*'Load and Resistance Factors'!$D$6,IF(L11&gt;=F11,Z11*F11*'Load and Resistance Factors'!$D$6,AA11*(F11-L11)*'Load and Resistance Factors'!$D$6))</f>
        <v>3500</v>
      </c>
      <c r="AO11" s="21">
        <f>BV11</f>
        <v>0</v>
      </c>
      <c r="AP11" s="24">
        <f>IF(K11=0,0.5*Q11*C11*C11*BK11,IF(L11&gt;=F11,0.5*Q11*AJ11*AJ11*BM11,0.5*Q11*AJ11*AJ11*CJ11))</f>
        <v>1750</v>
      </c>
      <c r="AQ11" s="24" t="str">
        <f>IF(K11=0,"---",IF(L11&gt;=F11,AP11*M11*'Load and Resistance Factors'!$C$6,AP11*CB11*'Load and Resistance Factors'!$C$6))</f>
        <v>---</v>
      </c>
      <c r="AR11" s="24" t="str">
        <f>IF(K11=0,"---",IF(L11&gt;=F11,AP11*N11*'Load and Resistance Factors'!$C$6,AP11*BZ11*'Load and Resistance Factors'!$C$6))</f>
        <v>---</v>
      </c>
      <c r="AS11" s="24">
        <f>IF(K11=0,AA11*C11*BK11,IF(L11&gt;=F11,AA11*AJ11*BM11,AA11*AJ11*CJ11))</f>
        <v>833.3333333333333</v>
      </c>
      <c r="AT11" s="24" t="str">
        <f>IF(K11=0,"---",IF(L11&gt;=F11,AS11*M11*'Load and Resistance Factors'!$E$6,AS11*CB11*'Load and Resistance Factors'!$E$6))</f>
        <v>---</v>
      </c>
      <c r="AU11" s="24" t="str">
        <f>IF(K11=0,"---",IF(L11&gt;=F11,AS11*N11*'Load and Resistance Factors'!$E$6,AS11*BZ11*'Load and Resistance Factors'!$E$6))</f>
        <v>---</v>
      </c>
      <c r="AV11" s="24">
        <f>IF(K11=0,(AP11*'Load and Resistance Factors'!$C$6+AS11*'Load and Resistance Factors'!$E$6),AR11+AU11)</f>
        <v>4083.333333333333</v>
      </c>
      <c r="AW11" s="34">
        <f>'Load and Resistance Factors'!$E$10*AX11*(TAN(RADIANS(W11)))</f>
        <v>4849.742261192856</v>
      </c>
      <c r="AX11" s="24">
        <f aca="true" t="shared" si="1" ref="AX11:AX30">IF(K11=0,AK11,IF(L11&gt;=F11,AK11+AL11+AQ11+AT11,AK11+AL11+AM11+AN11+AQ11+AT11))</f>
        <v>8400</v>
      </c>
      <c r="AY11" s="24">
        <f aca="true" t="shared" si="2" ref="AY11:AY30">IF(K11=0,AK11+AN11,IF(L11&gt;=F11,(AK11)+(AL11)+AQ11+AT11+AN11,(AK11)+(AL11)+(AM11)+AN11+AQ11+AT11))</f>
        <v>11900</v>
      </c>
      <c r="AZ11" s="24">
        <f aca="true" t="shared" si="3" ref="AZ11:AZ30">IF(K11=0,AK11*(F11/2),IF(L11&gt;=F11,AK11*(F11/2)+(AL11*(2/3)*F11)+(AQ11*F11)+(AT11*F11),AK11*(F11/2)+(AL11*(2/3)*L11)+AM11*(L11+(0.5*(F11-L11)))+AQ11*F11+AT11*F11))</f>
        <v>33600</v>
      </c>
      <c r="BA11" s="24">
        <f>IF(K11=0,AZ11+(Z11*F11*(F11/2)*'Load and Resistance Factors'!$D$7),IF(L11&gt;=F11,AZ11+(AN11*(F11/2)),AZ11+(AN11*(L11+((F11-L11)/2)))))</f>
        <v>47600</v>
      </c>
      <c r="BB11" s="24">
        <f>IF(K11=0,(AP11*'Load and Resistance Factors'!$C$6*(C11/3))+(AS11*'Load and Resistance Factors'!$E$6*(C11/2)),IF(L11&gt;=F11,(AR11*(AJ11/3))+(AU11*(AJ11/2)),(AR11*(AJ11/3))+(AU11*(AJ11/2))))</f>
        <v>16041.666666666666</v>
      </c>
      <c r="BC11" s="21">
        <f aca="true" t="shared" si="4" ref="BC11:BC30">(F11/2)-((AZ11-BB11)/AX11)</f>
        <v>1.9097222222222219</v>
      </c>
      <c r="BD11" s="21">
        <f aca="true" t="shared" si="5" ref="BD11:BD30">(F11/2)-((BA11-BB11)/AY11)</f>
        <v>1.3480392156862742</v>
      </c>
      <c r="BE11" s="21">
        <f aca="true" t="shared" si="6" ref="BE11:BE30">F11-(2*BD11)</f>
        <v>5.303921568627452</v>
      </c>
      <c r="BF11" s="21">
        <f>F11/4</f>
        <v>2</v>
      </c>
      <c r="BG11" s="21">
        <f>IF(U11=0,5.14,(((EXP(PI()*TAN(U11*PI()/180)))*(TAN(PI()/4+(U11*PI()/180)/2))^2)-1)*(1/(TAN(U11*PI()/180))))</f>
        <v>30.139627791519086</v>
      </c>
      <c r="BH11" s="21">
        <f>((EXP(PI()*TAN(U11*PI()/180)))*(TAN(PI()/4+(U11*PI()/180)/2))^2)</f>
        <v>18.401122218708668</v>
      </c>
      <c r="BI11" s="21">
        <f>(((EXP(PI()*TAN(U11*PI()/180)))*(TAN(PI()/4+(U11*PI()/180)/2))^2)+1)*2*(TAN(1*PI()/180*U11))</f>
        <v>22.402486271104557</v>
      </c>
      <c r="BJ11" s="22">
        <f>IF(K11=0,0,"---")</f>
        <v>0</v>
      </c>
      <c r="BK11" s="23">
        <f aca="true" t="shared" si="7" ref="BK11:BK30">IF(K11=0,IF(BJ11=0,(TAN(BP11*(45-R11/2)))^2,(((SIN((X11-R11)*BP11))/(SIN(X11*BP11)))/((SQRT(SIN((X11+BJ11)*BP11)))+(SQRT((SIN((R11+BJ11)*BP11))*(SIN((R11-K11)*BP11))/(SIN((X11-K11)*BP11))))))^2),"---")</f>
        <v>0.3333333333333333</v>
      </c>
      <c r="BL11" s="1" t="str">
        <f aca="true" t="shared" si="8" ref="BL11:BL30">IF(K11=0," ---",IF(Y11="I",K11,IF((1-K11/R11)*(F11/(D11+E11)-0.2)&gt;1,0,R11*(1-((1-(K11/R11))*(F11/(D11+E11)-0.2))))))</f>
        <v> ---</v>
      </c>
      <c r="BM11" s="25" t="str">
        <f aca="true" t="shared" si="9" ref="BM11:BM30">IF(K11=0,"  --",(((SIN((X11-R11)*BP11))/(SIN(X11*BP11)))/((SQRT(SIN((X11+BL11)*BP11)))+(SQRT((SIN((R11+BL11)*BP11))*(SIN((R11-K11)*BP11))/(SIN((X11-K11)*BP11))))))^2)</f>
        <v>  --</v>
      </c>
      <c r="BN11" s="21" t="str">
        <f aca="true" t="shared" si="10" ref="BN11:BN30">IF(L11&lt;(2*C11),BV11,BL11)</f>
        <v> ---</v>
      </c>
      <c r="BO11" s="27" t="str">
        <f aca="true" t="shared" si="11" ref="BO11:BO30">IF(K11=0,"---",IF(L11&gt;=2*C11,"---",CJ11))</f>
        <v>---</v>
      </c>
      <c r="BP11" s="192">
        <f aca="true" t="shared" si="12" ref="BP11:BP30">PI()/180</f>
        <v>0.017453292519943295</v>
      </c>
      <c r="BQ11" s="192">
        <f aca="true" t="shared" si="13" ref="BQ11:BQ30">TAN(W11*BP11)</f>
        <v>0.5773502691896257</v>
      </c>
      <c r="BR11" s="192">
        <f aca="true" t="shared" si="14" ref="BR11:BR30">IF(K11&gt;0,"----",SIN(BJ11*BP11))</f>
        <v>0</v>
      </c>
      <c r="BS11" s="3" t="s">
        <v>1</v>
      </c>
      <c r="BT11" s="193" t="s">
        <v>127</v>
      </c>
      <c r="BU11" s="243">
        <f>L11*TAN(RADIANS(K11))</f>
        <v>0</v>
      </c>
      <c r="BV11" s="243">
        <f aca="true" t="shared" si="15" ref="BV11:BV30">IF(DEGREES(ATAN(BU11/(2*C11)))&gt;K11,K11,DEGREES(ATAN(BU11/(2*C11))))</f>
        <v>0</v>
      </c>
      <c r="BW11" s="244">
        <f aca="true" t="shared" si="16" ref="BW11:BW30">COS(RADIANS(K11))</f>
        <v>1</v>
      </c>
      <c r="BX11" s="244">
        <f>BW11^2</f>
        <v>1</v>
      </c>
      <c r="BY11" s="245">
        <f>(COS(RADIANS(R11)))^2</f>
        <v>0.7500000000000001</v>
      </c>
      <c r="BZ11" s="244">
        <f>COS(RADIANS(BV11))</f>
        <v>1</v>
      </c>
      <c r="CA11" s="244">
        <f>BZ11^2</f>
        <v>1</v>
      </c>
      <c r="CB11" s="244">
        <f>SIN(RADIANS(BV11))</f>
        <v>0</v>
      </c>
      <c r="CC11" s="162">
        <f>(BX11-BY11)^0.5</f>
        <v>0.4999999999999999</v>
      </c>
      <c r="CD11" s="162">
        <f>BW11-CC11</f>
        <v>0.5000000000000001</v>
      </c>
      <c r="CE11" s="162">
        <f aca="true" t="shared" si="17" ref="CE11:CE30">BW11+CC11</f>
        <v>1.5</v>
      </c>
      <c r="CF11" s="246">
        <f aca="true" t="shared" si="18" ref="CF11:CF30">BW11*(CD11/CE11)</f>
        <v>0.3333333333333334</v>
      </c>
      <c r="CG11" s="162">
        <f>(CA11-BY11)^0.5</f>
        <v>0.4999999999999999</v>
      </c>
      <c r="CH11" s="162">
        <f>BZ11-CG11</f>
        <v>0.5000000000000001</v>
      </c>
      <c r="CI11" s="162">
        <f>BZ11+CG11</f>
        <v>1.5</v>
      </c>
      <c r="CJ11" s="246">
        <f>BZ11*(CH11/CI11)</f>
        <v>0.3333333333333334</v>
      </c>
    </row>
    <row r="12" spans="1:88" ht="15.75">
      <c r="A12" s="45" t="s">
        <v>61</v>
      </c>
      <c r="B12" s="42">
        <v>2</v>
      </c>
      <c r="C12" s="10">
        <f aca="true" t="shared" si="19" ref="C12:C30">D12+E12</f>
        <v>12</v>
      </c>
      <c r="D12" s="150">
        <f>'INPUT AND RESULTS'!D12</f>
        <v>10</v>
      </c>
      <c r="E12" s="150">
        <f>'INPUT AND RESULTS'!E12</f>
        <v>2</v>
      </c>
      <c r="F12" s="150">
        <f>'INPUT AND RESULTS'!F12</f>
        <v>9</v>
      </c>
      <c r="G12" s="9">
        <f aca="true" t="shared" si="20" ref="G12:G30">AZ12/BB12</f>
        <v>1.9918032786885247</v>
      </c>
      <c r="H12" s="9">
        <f aca="true" t="shared" si="21" ref="H12:H30">BC12/BF12</f>
        <v>1.0041152263374484</v>
      </c>
      <c r="I12" s="9">
        <f aca="true" t="shared" si="22" ref="I12:I30">AW12/AV12</f>
        <v>1.183933463401511</v>
      </c>
      <c r="J12" s="9">
        <f aca="true" t="shared" si="23" ref="J12:J30">AH12/AG12</f>
        <v>1.4603277513065107</v>
      </c>
      <c r="K12" s="150">
        <f>'INPUT AND RESULTS'!L12</f>
        <v>0</v>
      </c>
      <c r="L12" s="43">
        <f>'INPUT AND RESULTS'!M12</f>
        <v>200</v>
      </c>
      <c r="M12" s="151">
        <f>'INPUT AND RESULTS'!N12</f>
        <v>0</v>
      </c>
      <c r="N12" s="151">
        <f>'INPUT AND RESULTS'!O12</f>
        <v>1</v>
      </c>
      <c r="O12" s="150">
        <f>'INPUT AND RESULTS'!P12</f>
        <v>0</v>
      </c>
      <c r="P12" s="150">
        <f>'INPUT AND RESULTS'!Q12</f>
        <v>105</v>
      </c>
      <c r="Q12" s="150">
        <f>'INPUT AND RESULTS'!R12</f>
        <v>105</v>
      </c>
      <c r="R12" s="150">
        <f>'INPUT AND RESULTS'!S12</f>
        <v>30</v>
      </c>
      <c r="S12" s="150">
        <f>'INPUT AND RESULTS'!T12</f>
        <v>0</v>
      </c>
      <c r="T12" s="150">
        <f>'INPUT AND RESULTS'!U12</f>
        <v>105</v>
      </c>
      <c r="U12" s="150">
        <f>'INPUT AND RESULTS'!V12</f>
        <v>30</v>
      </c>
      <c r="V12" s="150">
        <f>'INPUT AND RESULTS'!W12</f>
        <v>0</v>
      </c>
      <c r="W12" s="150">
        <f>'INPUT AND RESULTS'!X12</f>
        <v>30</v>
      </c>
      <c r="X12" s="150">
        <f>'INPUT AND RESULTS'!Y12</f>
        <v>90</v>
      </c>
      <c r="Y12" s="150" t="s">
        <v>187</v>
      </c>
      <c r="Z12" s="150">
        <f>'INPUT AND RESULTS'!AA12</f>
        <v>250</v>
      </c>
      <c r="AA12" s="150">
        <f>'INPUT AND RESULTS'!AB12</f>
        <v>250</v>
      </c>
      <c r="AB12" s="47" t="s">
        <v>61</v>
      </c>
      <c r="AC12" s="49">
        <f t="shared" si="0"/>
        <v>0.5</v>
      </c>
      <c r="AF12" s="104"/>
      <c r="AG12" s="24">
        <f aca="true" t="shared" si="24" ref="AG12:AG30">AY12/(F12-2*BD12)</f>
        <v>2705.874923919659</v>
      </c>
      <c r="AH12" s="26">
        <f>V12*BG12*'Load and Resistance Factors'!$E$11+0.5*(F12-2*BD12)*T12*BI12*'Load and Resistance Factors'!$E$11*AC12+T12*E12*BH12*'Load and Resistance Factors'!$E$11</f>
        <v>3951.4642429642718</v>
      </c>
      <c r="AI12" s="24">
        <v>1</v>
      </c>
      <c r="AJ12" s="21" t="str">
        <f aca="true" t="shared" si="25" ref="AJ12:AJ30">IF(K12=0,"---",IF(L12&gt;=F12,C12+(F12*(TAN(RADIANS(K12)))),(C12+(L12*(TAN(RADIANS(K12)))))))</f>
        <v>---</v>
      </c>
      <c r="AK12" s="24">
        <f>(P12*C12*F12*'Load and Resistance Factors'!$B$6)</f>
        <v>11340</v>
      </c>
      <c r="AL12" s="24" t="str">
        <f>IF(K12=0,"---",IF(L12&gt;=F12,(0.5*P12*(AJ12-C12)*F12*'Load and Resistance Factors'!$B$6),(0.5*P12*(L12*(TAN(RADIANS(K12)))*L12*'Load and Resistance Factors'!$B$6))))</f>
        <v>---</v>
      </c>
      <c r="AM12" s="24" t="str">
        <f>IF(K12=0,"---",IF(L12&gt;=F12,"---",(P12*(L12*(TAN(RADIANS(K12))))*(F12-L12)*'Load and Resistance Factors'!$B$6)))</f>
        <v>---</v>
      </c>
      <c r="AN12" s="24">
        <f>IF(K12=0,Z12*F12*'Load and Resistance Factors'!$D$6,IF(L12&gt;=F12,Z12*F12*'Load and Resistance Factors'!$D$6,AA12*(F12-L12)*'Load and Resistance Factors'!$D$6))</f>
        <v>3937.5</v>
      </c>
      <c r="AO12" s="21">
        <f aca="true" t="shared" si="26" ref="AO12:AO30">BV12</f>
        <v>0</v>
      </c>
      <c r="AP12" s="24">
        <f aca="true" t="shared" si="27" ref="AP12:AP30">IF(K12=0,0.5*Q12*C12*C12*BK12,IF(L12&gt;=F12,0.5*Q12*AJ12*AJ12*BM12,0.5*Q12*AJ12*AJ12*CJ12))</f>
        <v>2520</v>
      </c>
      <c r="AQ12" s="24" t="str">
        <f>IF(K12=0,"---",IF(L12&gt;=F12,AP12*M12*'Load and Resistance Factors'!$C$6,AP12*CB12*'Load and Resistance Factors'!$C$6))</f>
        <v>---</v>
      </c>
      <c r="AR12" s="24" t="str">
        <f>IF(K12=0,"---",IF(L12&gt;=F12,AP12*N12*'Load and Resistance Factors'!$C$6,AP12*BZ12*'Load and Resistance Factors'!$C$6))</f>
        <v>---</v>
      </c>
      <c r="AS12" s="24">
        <f aca="true" t="shared" si="28" ref="AS12:AS30">IF(K12=0,AA12*C12*BK12,IF(L12&gt;=F12,AA12*AJ12*BM12,AA12*AJ12*CJ12))</f>
        <v>1000</v>
      </c>
      <c r="AT12" s="24" t="str">
        <f>IF(K12=0,"---",IF(L12&gt;=F12,AS12*M12*'Load and Resistance Factors'!$E$6,AS12*CB12*'Load and Resistance Factors'!$E$6))</f>
        <v>---</v>
      </c>
      <c r="AU12" s="24" t="str">
        <f>IF(K12=0,"---",IF(L12&gt;=F12,AS12*N12*'Load and Resistance Factors'!$E$6,AS12*BZ12*'Load and Resistance Factors'!$E$6))</f>
        <v>---</v>
      </c>
      <c r="AV12" s="24">
        <f>IF(K12=0,(AP12*'Load and Resistance Factors'!$C$6+AS12*'Load and Resistance Factors'!$E$6),AR12+AU12)</f>
        <v>5530</v>
      </c>
      <c r="AW12" s="34">
        <f>'Load and Resistance Factors'!$E$10*AX12*(TAN(RADIANS(W12)))</f>
        <v>6547.152052610356</v>
      </c>
      <c r="AX12" s="24">
        <f t="shared" si="1"/>
        <v>11340</v>
      </c>
      <c r="AY12" s="24">
        <f t="shared" si="2"/>
        <v>15277.5</v>
      </c>
      <c r="AZ12" s="24">
        <f t="shared" si="3"/>
        <v>51030</v>
      </c>
      <c r="BA12" s="24">
        <f>IF(K12=0,AZ12+(Z12*F12*(F12/2)*'Load and Resistance Factors'!$D$7),IF(L12&gt;=F12,AZ12+(AN12*(F12/2)),AZ12+(AN12*(L12+((F12-L12)/2)))))</f>
        <v>68748.75</v>
      </c>
      <c r="BB12" s="24">
        <f>IF(K12=0,(AP12*'Load and Resistance Factors'!$C$6*(C12/3))+(AS12*'Load and Resistance Factors'!$E$6*(C12/2)),IF(L12&gt;=F12,(AR12*(AJ12/3))+(AU12*(AJ12/2)),(AR12*(AJ12/3))+(AU12*(AJ12/2))))</f>
        <v>25620</v>
      </c>
      <c r="BC12" s="21">
        <f t="shared" si="4"/>
        <v>2.259259259259259</v>
      </c>
      <c r="BD12" s="21">
        <f t="shared" si="5"/>
        <v>1.676975945017182</v>
      </c>
      <c r="BE12" s="21">
        <f t="shared" si="6"/>
        <v>5.646048109965636</v>
      </c>
      <c r="BF12" s="21">
        <f aca="true" t="shared" si="29" ref="BF12:BF30">F12/4</f>
        <v>2.25</v>
      </c>
      <c r="BG12" s="21">
        <f aca="true" t="shared" si="30" ref="BG12:BG30">IF(U12=0,5.14,(((EXP(PI()*TAN(U12*PI()/180)))*(TAN(PI()/4+(U12*PI()/180)/2))^2)-1)*(1/(TAN(U12*PI()/180))))</f>
        <v>30.139627791519086</v>
      </c>
      <c r="BH12" s="21">
        <f aca="true" t="shared" si="31" ref="BH12:BH30">((EXP(PI()*TAN(U12*PI()/180)))*(TAN(PI()/4+(U12*PI()/180)/2))^2)</f>
        <v>18.401122218708668</v>
      </c>
      <c r="BI12" s="21">
        <f aca="true" t="shared" si="32" ref="BI12:BI30">(((EXP(PI()*TAN(U12*PI()/180)))*(TAN(PI()/4+(U12*PI()/180)/2))^2)+1)*2*(TAN(1*PI()/180*U12))</f>
        <v>22.402486271104557</v>
      </c>
      <c r="BJ12" s="22">
        <f aca="true" t="shared" si="33" ref="BJ12:BJ30">IF(K12=0,0,"---")</f>
        <v>0</v>
      </c>
      <c r="BK12" s="23">
        <f t="shared" si="7"/>
        <v>0.3333333333333333</v>
      </c>
      <c r="BL12" s="4" t="str">
        <f t="shared" si="8"/>
        <v> ---</v>
      </c>
      <c r="BM12" s="25" t="str">
        <f t="shared" si="9"/>
        <v>  --</v>
      </c>
      <c r="BN12" s="21" t="str">
        <f t="shared" si="10"/>
        <v> ---</v>
      </c>
      <c r="BO12" s="27" t="str">
        <f t="shared" si="11"/>
        <v>---</v>
      </c>
      <c r="BP12" s="235">
        <f t="shared" si="12"/>
        <v>0.017453292519943295</v>
      </c>
      <c r="BQ12" s="235">
        <f t="shared" si="13"/>
        <v>0.5773502691896257</v>
      </c>
      <c r="BR12" s="235">
        <f t="shared" si="14"/>
        <v>0</v>
      </c>
      <c r="BS12" s="204" t="s">
        <v>1</v>
      </c>
      <c r="BT12" s="193" t="s">
        <v>128</v>
      </c>
      <c r="BU12" s="243">
        <f aca="true" t="shared" si="34" ref="BU12:BU30">L12*TAN(RADIANS(K12))</f>
        <v>0</v>
      </c>
      <c r="BV12" s="243">
        <f t="shared" si="15"/>
        <v>0</v>
      </c>
      <c r="BW12" s="244">
        <f t="shared" si="16"/>
        <v>1</v>
      </c>
      <c r="BX12" s="244">
        <f aca="true" t="shared" si="35" ref="BX12:BX30">BW12^2</f>
        <v>1</v>
      </c>
      <c r="BY12" s="245">
        <f aca="true" t="shared" si="36" ref="BY12:BY30">(COS(RADIANS(R12)))^2</f>
        <v>0.7500000000000001</v>
      </c>
      <c r="BZ12" s="244">
        <f aca="true" t="shared" si="37" ref="BZ12:BZ30">COS(RADIANS(BV12))</f>
        <v>1</v>
      </c>
      <c r="CA12" s="244">
        <f aca="true" t="shared" si="38" ref="CA12:CA30">BZ12^2</f>
        <v>1</v>
      </c>
      <c r="CB12" s="244">
        <f aca="true" t="shared" si="39" ref="CB12:CB30">SIN(RADIANS(BV12))</f>
        <v>0</v>
      </c>
      <c r="CC12" s="162">
        <f aca="true" t="shared" si="40" ref="CC12:CC30">(BX12-BY12)^0.5</f>
        <v>0.4999999999999999</v>
      </c>
      <c r="CD12" s="162">
        <f aca="true" t="shared" si="41" ref="CD12:CD30">BW12-CC12</f>
        <v>0.5000000000000001</v>
      </c>
      <c r="CE12" s="162">
        <f t="shared" si="17"/>
        <v>1.5</v>
      </c>
      <c r="CF12" s="246">
        <f t="shared" si="18"/>
        <v>0.3333333333333334</v>
      </c>
      <c r="CG12" s="162">
        <f aca="true" t="shared" si="42" ref="CG12:CG30">(CA12-BY12)^0.5</f>
        <v>0.4999999999999999</v>
      </c>
      <c r="CH12" s="162">
        <f aca="true" t="shared" si="43" ref="CH12:CH30">BZ12-CG12</f>
        <v>0.5000000000000001</v>
      </c>
      <c r="CI12" s="162">
        <f aca="true" t="shared" si="44" ref="CI12:CI30">BZ12+CG12</f>
        <v>1.5</v>
      </c>
      <c r="CJ12" s="246">
        <f aca="true" t="shared" si="45" ref="CJ12:CJ30">BZ12*(CH12/CI12)</f>
        <v>0.3333333333333334</v>
      </c>
    </row>
    <row r="13" spans="1:88" ht="15.75">
      <c r="A13" s="45" t="s">
        <v>61</v>
      </c>
      <c r="B13" s="42">
        <v>3</v>
      </c>
      <c r="C13" s="10">
        <f>D13+E13</f>
        <v>14</v>
      </c>
      <c r="D13" s="150">
        <f>'INPUT AND RESULTS'!D13</f>
        <v>12</v>
      </c>
      <c r="E13" s="150">
        <f>'INPUT AND RESULTS'!E13</f>
        <v>2</v>
      </c>
      <c r="F13" s="150">
        <f>'INPUT AND RESULTS'!F13</f>
        <v>10</v>
      </c>
      <c r="G13" s="9">
        <f t="shared" si="20"/>
        <v>1.9189765458422177</v>
      </c>
      <c r="H13" s="9">
        <f t="shared" si="21"/>
        <v>1.0422222222222222</v>
      </c>
      <c r="I13" s="9">
        <f t="shared" si="22"/>
        <v>1.1809437324333254</v>
      </c>
      <c r="J13" s="9">
        <f t="shared" si="23"/>
        <v>1.2739310384781983</v>
      </c>
      <c r="K13" s="150">
        <f>'INPUT AND RESULTS'!L13</f>
        <v>0</v>
      </c>
      <c r="L13" s="43">
        <f>'INPUT AND RESULTS'!M13</f>
        <v>200</v>
      </c>
      <c r="M13" s="151">
        <f>'INPUT AND RESULTS'!N13</f>
        <v>0</v>
      </c>
      <c r="N13" s="151">
        <f>'INPUT AND RESULTS'!O13</f>
        <v>1</v>
      </c>
      <c r="O13" s="150">
        <f>'INPUT AND RESULTS'!P13</f>
        <v>0</v>
      </c>
      <c r="P13" s="150">
        <f>'INPUT AND RESULTS'!Q13</f>
        <v>105</v>
      </c>
      <c r="Q13" s="150">
        <f>'INPUT AND RESULTS'!R13</f>
        <v>105</v>
      </c>
      <c r="R13" s="150">
        <f>'INPUT AND RESULTS'!S13</f>
        <v>30</v>
      </c>
      <c r="S13" s="150">
        <f>'INPUT AND RESULTS'!T13</f>
        <v>0</v>
      </c>
      <c r="T13" s="150">
        <f>'INPUT AND RESULTS'!U13</f>
        <v>105</v>
      </c>
      <c r="U13" s="150">
        <f>'INPUT AND RESULTS'!V13</f>
        <v>30</v>
      </c>
      <c r="V13" s="150">
        <f>'INPUT AND RESULTS'!W13</f>
        <v>0</v>
      </c>
      <c r="W13" s="150">
        <f>'INPUT AND RESULTS'!X13</f>
        <v>30</v>
      </c>
      <c r="X13" s="150">
        <f>'INPUT AND RESULTS'!Y13</f>
        <v>90</v>
      </c>
      <c r="Y13" s="150" t="s">
        <v>187</v>
      </c>
      <c r="Z13" s="150">
        <f>'INPUT AND RESULTS'!AA13</f>
        <v>250</v>
      </c>
      <c r="AA13" s="150">
        <f>'INPUT AND RESULTS'!AB13</f>
        <v>250</v>
      </c>
      <c r="AB13" s="47" t="s">
        <v>61</v>
      </c>
      <c r="AC13" s="49">
        <f t="shared" si="0"/>
        <v>0.5</v>
      </c>
      <c r="AF13" s="104"/>
      <c r="AG13" s="24">
        <f t="shared" si="24"/>
        <v>3187.61498364677</v>
      </c>
      <c r="AH13" s="26">
        <f>V13*BG13*'Load and Resistance Factors'!$E$11+0.5*(F13-2*BD13)*T13*BI13*'Load and Resistance Factors'!$E$11*AC13+T13*E13*BH13*'Load and Resistance Factors'!$E$11</f>
        <v>4060.8016663857943</v>
      </c>
      <c r="AI13" s="24">
        <v>2</v>
      </c>
      <c r="AJ13" s="21" t="str">
        <f t="shared" si="25"/>
        <v>---</v>
      </c>
      <c r="AK13" s="24">
        <f>(P13*C13*F13*'Load and Resistance Factors'!$B$6)</f>
        <v>14700</v>
      </c>
      <c r="AL13" s="24" t="str">
        <f>IF(K13=0,"---",IF(L13&gt;=F13,(0.5*P13*(AJ13-C13)*F13*'Load and Resistance Factors'!$B$6),(0.5*P13*(L13*(TAN(RADIANS(K13)))*L13*'Load and Resistance Factors'!$B$6))))</f>
        <v>---</v>
      </c>
      <c r="AM13" s="24" t="str">
        <f>IF(K13=0,"---",IF(L13&gt;=F13,"---",(P13*(L13*(TAN(RADIANS(K13))))*(F13-L13)*'Load and Resistance Factors'!$B$6)))</f>
        <v>---</v>
      </c>
      <c r="AN13" s="24">
        <f>IF(K13=0,Z13*F13*'Load and Resistance Factors'!$D$6,IF(L13&gt;=F13,Z13*F13*'Load and Resistance Factors'!$D$6,AA13*(F13-L13)*'Load and Resistance Factors'!$D$6))</f>
        <v>4375</v>
      </c>
      <c r="AO13" s="21">
        <f t="shared" si="26"/>
        <v>0</v>
      </c>
      <c r="AP13" s="24">
        <f t="shared" si="27"/>
        <v>3430</v>
      </c>
      <c r="AQ13" s="24" t="str">
        <f>IF(K13=0,"---",IF(L13&gt;=F13,AP13*M13*'Load and Resistance Factors'!$C$6,AP13*CB13*'Load and Resistance Factors'!$C$6))</f>
        <v>---</v>
      </c>
      <c r="AR13" s="24" t="str">
        <f>IF(K13=0,"---",IF(L13&gt;=F13,AP13*N13*'Load and Resistance Factors'!$C$6,AP13*BZ13*'Load and Resistance Factors'!$C$6))</f>
        <v>---</v>
      </c>
      <c r="AS13" s="24">
        <f t="shared" si="28"/>
        <v>1166.6666666666665</v>
      </c>
      <c r="AT13" s="24" t="str">
        <f>IF(K13=0,"---",IF(L13&gt;=F13,AS13*M13*'Load and Resistance Factors'!$E$6,AS13*CB13*'Load and Resistance Factors'!$E$6))</f>
        <v>---</v>
      </c>
      <c r="AU13" s="24" t="str">
        <f>IF(K13=0,"---",IF(L13&gt;=F13,AS13*N13*'Load and Resistance Factors'!$E$6,AS13*BZ13*'Load and Resistance Factors'!$E$6))</f>
        <v>---</v>
      </c>
      <c r="AV13" s="24">
        <f>IF(K13=0,(AP13*'Load and Resistance Factors'!$C$6+AS13*'Load and Resistance Factors'!$E$6),AR13+AU13)</f>
        <v>7186.666666666666</v>
      </c>
      <c r="AW13" s="34">
        <f>'Load and Resistance Factors'!$E$10*AX13*(TAN(RADIANS(W13)))</f>
        <v>8487.048957087498</v>
      </c>
      <c r="AX13" s="24">
        <f t="shared" si="1"/>
        <v>14700</v>
      </c>
      <c r="AY13" s="24">
        <f t="shared" si="2"/>
        <v>19075</v>
      </c>
      <c r="AZ13" s="24">
        <f t="shared" si="3"/>
        <v>73500</v>
      </c>
      <c r="BA13" s="24">
        <f>IF(K13=0,AZ13+(Z13*F13*(F13/2)*'Load and Resistance Factors'!$D$7),IF(L13&gt;=F13,AZ13+(AN13*(F13/2)),AZ13+(AN13*(L13+((F13-L13)/2)))))</f>
        <v>95375</v>
      </c>
      <c r="BB13" s="24">
        <f>IF(K13=0,(AP13*'Load and Resistance Factors'!$C$6*(C13/3))+(AS13*'Load and Resistance Factors'!$E$6*(C13/2)),IF(L13&gt;=F13,(AR13*(AJ13/3))+(AU13*(AJ13/2)),(AR13*(AJ13/3))+(AU13*(AJ13/2))))</f>
        <v>38301.666666666664</v>
      </c>
      <c r="BC13" s="21">
        <f t="shared" si="4"/>
        <v>2.605555555555555</v>
      </c>
      <c r="BD13" s="21">
        <f t="shared" si="5"/>
        <v>2.007951070336391</v>
      </c>
      <c r="BE13" s="21">
        <f t="shared" si="6"/>
        <v>5.984097859327218</v>
      </c>
      <c r="BF13" s="21">
        <f t="shared" si="29"/>
        <v>2.5</v>
      </c>
      <c r="BG13" s="21">
        <f t="shared" si="30"/>
        <v>30.139627791519086</v>
      </c>
      <c r="BH13" s="21">
        <f t="shared" si="31"/>
        <v>18.401122218708668</v>
      </c>
      <c r="BI13" s="21">
        <f t="shared" si="32"/>
        <v>22.402486271104557</v>
      </c>
      <c r="BJ13" s="22">
        <f t="shared" si="33"/>
        <v>0</v>
      </c>
      <c r="BK13" s="23">
        <f t="shared" si="7"/>
        <v>0.3333333333333333</v>
      </c>
      <c r="BL13" s="1" t="str">
        <f t="shared" si="8"/>
        <v> ---</v>
      </c>
      <c r="BM13" s="25" t="str">
        <f t="shared" si="9"/>
        <v>  --</v>
      </c>
      <c r="BN13" s="21" t="str">
        <f t="shared" si="10"/>
        <v> ---</v>
      </c>
      <c r="BO13" s="27" t="str">
        <f t="shared" si="11"/>
        <v>---</v>
      </c>
      <c r="BP13" s="192">
        <f t="shared" si="12"/>
        <v>0.017453292519943295</v>
      </c>
      <c r="BQ13" s="192">
        <f t="shared" si="13"/>
        <v>0.5773502691896257</v>
      </c>
      <c r="BR13" s="192">
        <f t="shared" si="14"/>
        <v>0</v>
      </c>
      <c r="BS13" s="3" t="s">
        <v>1</v>
      </c>
      <c r="BT13" s="193">
        <v>1</v>
      </c>
      <c r="BU13" s="243">
        <f t="shared" si="34"/>
        <v>0</v>
      </c>
      <c r="BV13" s="243">
        <f t="shared" si="15"/>
        <v>0</v>
      </c>
      <c r="BW13" s="244">
        <f t="shared" si="16"/>
        <v>1</v>
      </c>
      <c r="BX13" s="244">
        <f t="shared" si="35"/>
        <v>1</v>
      </c>
      <c r="BY13" s="245">
        <f t="shared" si="36"/>
        <v>0.7500000000000001</v>
      </c>
      <c r="BZ13" s="244">
        <f t="shared" si="37"/>
        <v>1</v>
      </c>
      <c r="CA13" s="244">
        <f t="shared" si="38"/>
        <v>1</v>
      </c>
      <c r="CB13" s="244">
        <f t="shared" si="39"/>
        <v>0</v>
      </c>
      <c r="CC13" s="162">
        <f t="shared" si="40"/>
        <v>0.4999999999999999</v>
      </c>
      <c r="CD13" s="162">
        <f t="shared" si="41"/>
        <v>0.5000000000000001</v>
      </c>
      <c r="CE13" s="162">
        <f t="shared" si="17"/>
        <v>1.5</v>
      </c>
      <c r="CF13" s="246">
        <f t="shared" si="18"/>
        <v>0.3333333333333334</v>
      </c>
      <c r="CG13" s="162">
        <f t="shared" si="42"/>
        <v>0.4999999999999999</v>
      </c>
      <c r="CH13" s="162">
        <f t="shared" si="43"/>
        <v>0.5000000000000001</v>
      </c>
      <c r="CI13" s="162">
        <f t="shared" si="44"/>
        <v>1.5</v>
      </c>
      <c r="CJ13" s="246">
        <f t="shared" si="45"/>
        <v>0.3333333333333334</v>
      </c>
    </row>
    <row r="14" spans="1:88" ht="15.75">
      <c r="A14" s="45" t="s">
        <v>61</v>
      </c>
      <c r="B14" s="42">
        <v>4</v>
      </c>
      <c r="C14" s="10">
        <f t="shared" si="19"/>
        <v>16</v>
      </c>
      <c r="D14" s="150">
        <f>'INPUT AND RESULTS'!D14</f>
        <v>14</v>
      </c>
      <c r="E14" s="150">
        <f>'INPUT AND RESULTS'!E14</f>
        <v>2</v>
      </c>
      <c r="F14" s="150">
        <f>'INPUT AND RESULTS'!F14</f>
        <v>12</v>
      </c>
      <c r="G14" s="9">
        <f t="shared" si="20"/>
        <v>2.219178082191781</v>
      </c>
      <c r="H14" s="9">
        <f t="shared" si="21"/>
        <v>0.9012345679012345</v>
      </c>
      <c r="I14" s="9">
        <f t="shared" si="22"/>
        <v>1.285645960257311</v>
      </c>
      <c r="J14" s="9">
        <f t="shared" si="23"/>
        <v>1.4014721015485097</v>
      </c>
      <c r="K14" s="150">
        <f>'INPUT AND RESULTS'!L14</f>
        <v>0</v>
      </c>
      <c r="L14" s="43">
        <f>'INPUT AND RESULTS'!M14</f>
        <v>200</v>
      </c>
      <c r="M14" s="151">
        <f>'INPUT AND RESULTS'!N14</f>
        <v>0</v>
      </c>
      <c r="N14" s="151">
        <f>'INPUT AND RESULTS'!O14</f>
        <v>1</v>
      </c>
      <c r="O14" s="150">
        <f>'INPUT AND RESULTS'!P14</f>
        <v>0</v>
      </c>
      <c r="P14" s="150">
        <f>'INPUT AND RESULTS'!Q14</f>
        <v>105</v>
      </c>
      <c r="Q14" s="150">
        <f>'INPUT AND RESULTS'!R14</f>
        <v>105</v>
      </c>
      <c r="R14" s="150">
        <f>'INPUT AND RESULTS'!S14</f>
        <v>30</v>
      </c>
      <c r="S14" s="150">
        <f>'INPUT AND RESULTS'!T14</f>
        <v>0</v>
      </c>
      <c r="T14" s="150">
        <f>'INPUT AND RESULTS'!U14</f>
        <v>105</v>
      </c>
      <c r="U14" s="150">
        <f>'INPUT AND RESULTS'!V14</f>
        <v>30</v>
      </c>
      <c r="V14" s="150">
        <f>'INPUT AND RESULTS'!W14</f>
        <v>0</v>
      </c>
      <c r="W14" s="150">
        <f>'INPUT AND RESULTS'!X14</f>
        <v>30</v>
      </c>
      <c r="X14" s="150">
        <f>'INPUT AND RESULTS'!Y14</f>
        <v>90</v>
      </c>
      <c r="Y14" s="150" t="s">
        <v>187</v>
      </c>
      <c r="Z14" s="150">
        <f>'INPUT AND RESULTS'!AA14</f>
        <v>250</v>
      </c>
      <c r="AA14" s="150">
        <f>'INPUT AND RESULTS'!AB14</f>
        <v>250</v>
      </c>
      <c r="AB14" s="47" t="s">
        <v>61</v>
      </c>
      <c r="AC14" s="49">
        <f t="shared" si="0"/>
        <v>0.5</v>
      </c>
      <c r="AF14" s="104"/>
      <c r="AG14" s="24">
        <f t="shared" si="24"/>
        <v>3295.794425917103</v>
      </c>
      <c r="AH14" s="26">
        <f>V14*BG14*'Load and Resistance Factors'!$E$11+0.5*(F14-2*BD14)*T14*BI14*'Load and Resistance Factors'!$E$11*AC14+T14*E14*BH14*'Load and Resistance Factors'!$E$11</f>
        <v>4618.963940361907</v>
      </c>
      <c r="AI14" s="24">
        <v>3</v>
      </c>
      <c r="AJ14" s="21" t="str">
        <f t="shared" si="25"/>
        <v>---</v>
      </c>
      <c r="AK14" s="24">
        <f>(P14*C14*F14*'Load and Resistance Factors'!$B$6)</f>
        <v>20160</v>
      </c>
      <c r="AL14" s="24" t="str">
        <f>IF(K14=0,"---",IF(L14&gt;=F14,(0.5*P14*(AJ14-C14)*F14*'Load and Resistance Factors'!$B$6),(0.5*P14*(L14*(TAN(RADIANS(K14)))*L14*'Load and Resistance Factors'!$B$6))))</f>
        <v>---</v>
      </c>
      <c r="AM14" s="24" t="str">
        <f>IF(K14=0,"---",IF(L14&gt;=F14,"---",(P14*(L14*(TAN(RADIANS(K14))))*(F14-L14)*'Load and Resistance Factors'!$B$6)))</f>
        <v>---</v>
      </c>
      <c r="AN14" s="24">
        <f>IF(K14=0,Z14*F14*'Load and Resistance Factors'!$D$6,IF(L14&gt;=F14,Z14*F14*'Load and Resistance Factors'!$D$6,AA14*(F14-L14)*'Load and Resistance Factors'!$D$6))</f>
        <v>5250</v>
      </c>
      <c r="AO14" s="21">
        <f t="shared" si="26"/>
        <v>0</v>
      </c>
      <c r="AP14" s="24">
        <f t="shared" si="27"/>
        <v>4480</v>
      </c>
      <c r="AQ14" s="24" t="str">
        <f>IF(K14=0,"---",IF(L14&gt;=F14,AP14*M14*'Load and Resistance Factors'!$C$6,AP14*CB14*'Load and Resistance Factors'!$C$6))</f>
        <v>---</v>
      </c>
      <c r="AR14" s="24" t="str">
        <f>IF(K14=0,"---",IF(L14&gt;=F14,AP14*N14*'Load and Resistance Factors'!$C$6,AP14*BZ14*'Load and Resistance Factors'!$C$6))</f>
        <v>---</v>
      </c>
      <c r="AS14" s="24">
        <f t="shared" si="28"/>
        <v>1333.3333333333333</v>
      </c>
      <c r="AT14" s="24" t="str">
        <f>IF(K14=0,"---",IF(L14&gt;=F14,AS14*M14*'Load and Resistance Factors'!$E$6,AS14*CB14*'Load and Resistance Factors'!$E$6))</f>
        <v>---</v>
      </c>
      <c r="AU14" s="24" t="str">
        <f>IF(K14=0,"---",IF(L14&gt;=F14,AS14*N14*'Load and Resistance Factors'!$E$6,AS14*BZ14*'Load and Resistance Factors'!$E$6))</f>
        <v>---</v>
      </c>
      <c r="AV14" s="24">
        <f>IF(K14=0,(AP14*'Load and Resistance Factors'!$C$6+AS14*'Load and Resistance Factors'!$E$6),AR14+AU14)</f>
        <v>9053.333333333332</v>
      </c>
      <c r="AW14" s="34">
        <f>'Load and Resistance Factors'!$E$10*AX14*(TAN(RADIANS(W14)))</f>
        <v>11639.381426862854</v>
      </c>
      <c r="AX14" s="24">
        <f t="shared" si="1"/>
        <v>20160</v>
      </c>
      <c r="AY14" s="24">
        <f t="shared" si="2"/>
        <v>25410</v>
      </c>
      <c r="AZ14" s="24">
        <f t="shared" si="3"/>
        <v>120960</v>
      </c>
      <c r="BA14" s="24">
        <f>IF(K14=0,AZ14+(Z14*F14*(F14/2)*'Load and Resistance Factors'!$D$7),IF(L14&gt;=F14,AZ14+(AN14*(F14/2)),AZ14+(AN14*(L14+((F14-L14)/2)))))</f>
        <v>152460</v>
      </c>
      <c r="BB14" s="24">
        <f>IF(K14=0,(AP14*'Load and Resistance Factors'!$C$6*(C14/3))+(AS14*'Load and Resistance Factors'!$E$6*(C14/2)),IF(L14&gt;=F14,(AR14*(AJ14/3))+(AU14*(AJ14/2)),(AR14*(AJ14/3))+(AU14*(AJ14/2))))</f>
        <v>54506.666666666664</v>
      </c>
      <c r="BC14" s="21">
        <f t="shared" si="4"/>
        <v>2.7037037037037033</v>
      </c>
      <c r="BD14" s="21">
        <f t="shared" si="5"/>
        <v>2.1450872359963267</v>
      </c>
      <c r="BE14" s="21">
        <f t="shared" si="6"/>
        <v>7.709825528007347</v>
      </c>
      <c r="BF14" s="21">
        <f t="shared" si="29"/>
        <v>3</v>
      </c>
      <c r="BG14" s="21">
        <f t="shared" si="30"/>
        <v>30.139627791519086</v>
      </c>
      <c r="BH14" s="21">
        <f t="shared" si="31"/>
        <v>18.401122218708668</v>
      </c>
      <c r="BI14" s="21">
        <f t="shared" si="32"/>
        <v>22.402486271104557</v>
      </c>
      <c r="BJ14" s="22">
        <f t="shared" si="33"/>
        <v>0</v>
      </c>
      <c r="BK14" s="23">
        <f t="shared" si="7"/>
        <v>0.3333333333333333</v>
      </c>
      <c r="BL14" s="4" t="str">
        <f t="shared" si="8"/>
        <v> ---</v>
      </c>
      <c r="BM14" s="25" t="str">
        <f t="shared" si="9"/>
        <v>  --</v>
      </c>
      <c r="BN14" s="21" t="str">
        <f t="shared" si="10"/>
        <v> ---</v>
      </c>
      <c r="BO14" s="27" t="str">
        <f t="shared" si="11"/>
        <v>---</v>
      </c>
      <c r="BP14" s="235">
        <f t="shared" si="12"/>
        <v>0.017453292519943295</v>
      </c>
      <c r="BQ14" s="235">
        <f t="shared" si="13"/>
        <v>0.5773502691896257</v>
      </c>
      <c r="BR14" s="235">
        <f t="shared" si="14"/>
        <v>0</v>
      </c>
      <c r="BS14" s="204" t="s">
        <v>1</v>
      </c>
      <c r="BT14" s="193">
        <f>BT13+1</f>
        <v>2</v>
      </c>
      <c r="BU14" s="243">
        <f t="shared" si="34"/>
        <v>0</v>
      </c>
      <c r="BV14" s="243">
        <f t="shared" si="15"/>
        <v>0</v>
      </c>
      <c r="BW14" s="244">
        <f t="shared" si="16"/>
        <v>1</v>
      </c>
      <c r="BX14" s="244">
        <f t="shared" si="35"/>
        <v>1</v>
      </c>
      <c r="BY14" s="245">
        <f t="shared" si="36"/>
        <v>0.7500000000000001</v>
      </c>
      <c r="BZ14" s="244">
        <f t="shared" si="37"/>
        <v>1</v>
      </c>
      <c r="CA14" s="244">
        <f t="shared" si="38"/>
        <v>1</v>
      </c>
      <c r="CB14" s="244">
        <f t="shared" si="39"/>
        <v>0</v>
      </c>
      <c r="CC14" s="162">
        <f t="shared" si="40"/>
        <v>0.4999999999999999</v>
      </c>
      <c r="CD14" s="162">
        <f t="shared" si="41"/>
        <v>0.5000000000000001</v>
      </c>
      <c r="CE14" s="162">
        <f t="shared" si="17"/>
        <v>1.5</v>
      </c>
      <c r="CF14" s="246">
        <f t="shared" si="18"/>
        <v>0.3333333333333334</v>
      </c>
      <c r="CG14" s="162">
        <f t="shared" si="42"/>
        <v>0.4999999999999999</v>
      </c>
      <c r="CH14" s="162">
        <f t="shared" si="43"/>
        <v>0.5000000000000001</v>
      </c>
      <c r="CI14" s="162">
        <f t="shared" si="44"/>
        <v>1.5</v>
      </c>
      <c r="CJ14" s="246">
        <f t="shared" si="45"/>
        <v>0.3333333333333334</v>
      </c>
    </row>
    <row r="15" spans="1:88" ht="15.75">
      <c r="A15" s="45" t="s">
        <v>61</v>
      </c>
      <c r="B15" s="42">
        <v>5</v>
      </c>
      <c r="C15" s="10">
        <f t="shared" si="19"/>
        <v>18</v>
      </c>
      <c r="D15" s="150">
        <f>'INPUT AND RESULTS'!D15</f>
        <v>16</v>
      </c>
      <c r="E15" s="150">
        <f>'INPUT AND RESULTS'!E15</f>
        <v>2</v>
      </c>
      <c r="F15" s="150">
        <f>'INPUT AND RESULTS'!F15</f>
        <v>13</v>
      </c>
      <c r="G15" s="9">
        <f t="shared" si="20"/>
        <v>2.1392405063291138</v>
      </c>
      <c r="H15" s="9">
        <f t="shared" si="21"/>
        <v>0.9349112426035503</v>
      </c>
      <c r="I15" s="9">
        <f t="shared" si="22"/>
        <v>1.2745279527393625</v>
      </c>
      <c r="J15" s="9">
        <f t="shared" si="23"/>
        <v>1.2618700226453075</v>
      </c>
      <c r="K15" s="150">
        <f>'INPUT AND RESULTS'!L15</f>
        <v>0</v>
      </c>
      <c r="L15" s="43">
        <f>'INPUT AND RESULTS'!M15</f>
        <v>200</v>
      </c>
      <c r="M15" s="151">
        <f>'INPUT AND RESULTS'!N15</f>
        <v>0</v>
      </c>
      <c r="N15" s="151">
        <f>'INPUT AND RESULTS'!O15</f>
        <v>1</v>
      </c>
      <c r="O15" s="150">
        <f>'INPUT AND RESULTS'!P15</f>
        <v>0</v>
      </c>
      <c r="P15" s="150">
        <f>'INPUT AND RESULTS'!Q15</f>
        <v>105</v>
      </c>
      <c r="Q15" s="150">
        <f>'INPUT AND RESULTS'!R15</f>
        <v>105</v>
      </c>
      <c r="R15" s="150">
        <f>'INPUT AND RESULTS'!S15</f>
        <v>30</v>
      </c>
      <c r="S15" s="150">
        <f>'INPUT AND RESULTS'!T15</f>
        <v>0</v>
      </c>
      <c r="T15" s="150">
        <f>'INPUT AND RESULTS'!U15</f>
        <v>105</v>
      </c>
      <c r="U15" s="150">
        <f>'INPUT AND RESULTS'!V15</f>
        <v>30</v>
      </c>
      <c r="V15" s="150">
        <f>'INPUT AND RESULTS'!W15</f>
        <v>0</v>
      </c>
      <c r="W15" s="150">
        <f>'INPUT AND RESULTS'!X15</f>
        <v>30</v>
      </c>
      <c r="X15" s="150">
        <f>'INPUT AND RESULTS'!Y15</f>
        <v>90</v>
      </c>
      <c r="Y15" s="150" t="s">
        <v>187</v>
      </c>
      <c r="Z15" s="150">
        <f>'INPUT AND RESULTS'!AA15</f>
        <v>250</v>
      </c>
      <c r="AA15" s="150">
        <f>'INPUT AND RESULTS'!AB15</f>
        <v>250</v>
      </c>
      <c r="AB15" s="47" t="s">
        <v>61</v>
      </c>
      <c r="AC15" s="49">
        <f t="shared" si="0"/>
        <v>0.5</v>
      </c>
      <c r="AF15" s="104"/>
      <c r="AG15" s="24">
        <f t="shared" si="24"/>
        <v>3751.539440659735</v>
      </c>
      <c r="AH15" s="26">
        <f>V15*BG15*'Load and Resistance Factors'!$E$11+0.5*(F15-2*BD15)*T15*BI15*'Load and Resistance Factors'!$E$11*AC15+T15*E15*BH15*'Load and Resistance Factors'!$E$11</f>
        <v>4733.955158940064</v>
      </c>
      <c r="AI15" s="24">
        <v>4</v>
      </c>
      <c r="AJ15" s="21" t="str">
        <f t="shared" si="25"/>
        <v>---</v>
      </c>
      <c r="AK15" s="24">
        <f>(P15*C15*F15*'Load and Resistance Factors'!$B$6)</f>
        <v>24570</v>
      </c>
      <c r="AL15" s="24" t="str">
        <f>IF(K15=0,"---",IF(L15&gt;=F15,(0.5*P15*(AJ15-C15)*F15*'Load and Resistance Factors'!$B$6),(0.5*P15*(L15*(TAN(RADIANS(K15)))*L15*'Load and Resistance Factors'!$B$6))))</f>
        <v>---</v>
      </c>
      <c r="AM15" s="24" t="str">
        <f>IF(K15=0,"---",IF(L15&gt;=F15,"---",(P15*(L15*(TAN(RADIANS(K15))))*(F15-L15)*'Load and Resistance Factors'!$B$6)))</f>
        <v>---</v>
      </c>
      <c r="AN15" s="24">
        <f>IF(K15=0,Z15*F15*'Load and Resistance Factors'!$D$6,IF(L15&gt;=F15,Z15*F15*'Load and Resistance Factors'!$D$6,AA15*(F15-L15)*'Load and Resistance Factors'!$D$6))</f>
        <v>5687.5</v>
      </c>
      <c r="AO15" s="21">
        <f t="shared" si="26"/>
        <v>0</v>
      </c>
      <c r="AP15" s="24">
        <f t="shared" si="27"/>
        <v>5670</v>
      </c>
      <c r="AQ15" s="24" t="str">
        <f>IF(K15=0,"---",IF(L15&gt;=F15,AP15*M15*'Load and Resistance Factors'!$C$6,AP15*CB15*'Load and Resistance Factors'!$C$6))</f>
        <v>---</v>
      </c>
      <c r="AR15" s="24" t="str">
        <f>IF(K15=0,"---",IF(L15&gt;=F15,AP15*N15*'Load and Resistance Factors'!$C$6,AP15*BZ15*'Load and Resistance Factors'!$C$6))</f>
        <v>---</v>
      </c>
      <c r="AS15" s="24">
        <f t="shared" si="28"/>
        <v>1500</v>
      </c>
      <c r="AT15" s="24" t="str">
        <f>IF(K15=0,"---",IF(L15&gt;=F15,AS15*M15*'Load and Resistance Factors'!$E$6,AS15*CB15*'Load and Resistance Factors'!$E$6))</f>
        <v>---</v>
      </c>
      <c r="AU15" s="24" t="str">
        <f>IF(K15=0,"---",IF(L15&gt;=F15,AS15*N15*'Load and Resistance Factors'!$E$6,AS15*BZ15*'Load and Resistance Factors'!$E$6))</f>
        <v>---</v>
      </c>
      <c r="AV15" s="24">
        <f>IF(K15=0,(AP15*'Load and Resistance Factors'!$C$6+AS15*'Load and Resistance Factors'!$E$6),AR15+AU15)</f>
        <v>11130</v>
      </c>
      <c r="AW15" s="34">
        <f>'Load and Resistance Factors'!$E$10*AX15*(TAN(RADIANS(W15)))</f>
        <v>14185.496113989104</v>
      </c>
      <c r="AX15" s="24">
        <f t="shared" si="1"/>
        <v>24570</v>
      </c>
      <c r="AY15" s="24">
        <f t="shared" si="2"/>
        <v>30257.5</v>
      </c>
      <c r="AZ15" s="24">
        <f t="shared" si="3"/>
        <v>159705</v>
      </c>
      <c r="BA15" s="24">
        <f>IF(K15=0,AZ15+(Z15*F15*(F15/2)*'Load and Resistance Factors'!$D$7),IF(L15&gt;=F15,AZ15+(AN15*(F15/2)),AZ15+(AN15*(L15+((F15-L15)/2)))))</f>
        <v>196673.75</v>
      </c>
      <c r="BB15" s="24">
        <f>IF(K15=0,(AP15*'Load and Resistance Factors'!$C$6*(C15/3))+(AS15*'Load and Resistance Factors'!$E$6*(C15/2)),IF(L15&gt;=F15,(AR15*(AJ15/3))+(AU15*(AJ15/2)),(AR15*(AJ15/3))+(AU15*(AJ15/2))))</f>
        <v>74655</v>
      </c>
      <c r="BC15" s="21">
        <f t="shared" si="4"/>
        <v>3.0384615384615383</v>
      </c>
      <c r="BD15" s="21">
        <f t="shared" si="5"/>
        <v>2.467322151532678</v>
      </c>
      <c r="BE15" s="21">
        <f t="shared" si="6"/>
        <v>8.065355696934644</v>
      </c>
      <c r="BF15" s="21">
        <f t="shared" si="29"/>
        <v>3.25</v>
      </c>
      <c r="BG15" s="21">
        <f t="shared" si="30"/>
        <v>30.139627791519086</v>
      </c>
      <c r="BH15" s="21">
        <f t="shared" si="31"/>
        <v>18.401122218708668</v>
      </c>
      <c r="BI15" s="21">
        <f t="shared" si="32"/>
        <v>22.402486271104557</v>
      </c>
      <c r="BJ15" s="22">
        <f t="shared" si="33"/>
        <v>0</v>
      </c>
      <c r="BK15" s="23">
        <f t="shared" si="7"/>
        <v>0.3333333333333333</v>
      </c>
      <c r="BL15" s="1" t="str">
        <f t="shared" si="8"/>
        <v> ---</v>
      </c>
      <c r="BM15" s="25" t="str">
        <f t="shared" si="9"/>
        <v>  --</v>
      </c>
      <c r="BN15" s="21" t="str">
        <f t="shared" si="10"/>
        <v> ---</v>
      </c>
      <c r="BO15" s="27" t="str">
        <f t="shared" si="11"/>
        <v>---</v>
      </c>
      <c r="BP15" s="192">
        <f t="shared" si="12"/>
        <v>0.017453292519943295</v>
      </c>
      <c r="BQ15" s="192">
        <f t="shared" si="13"/>
        <v>0.5773502691896257</v>
      </c>
      <c r="BR15" s="192">
        <f t="shared" si="14"/>
        <v>0</v>
      </c>
      <c r="BS15" s="3" t="s">
        <v>1</v>
      </c>
      <c r="BT15" s="193">
        <f aca="true" t="shared" si="46" ref="BT15:BT40">BT14+1</f>
        <v>3</v>
      </c>
      <c r="BU15" s="243">
        <f t="shared" si="34"/>
        <v>0</v>
      </c>
      <c r="BV15" s="243">
        <f t="shared" si="15"/>
        <v>0</v>
      </c>
      <c r="BW15" s="244">
        <f t="shared" si="16"/>
        <v>1</v>
      </c>
      <c r="BX15" s="244">
        <f t="shared" si="35"/>
        <v>1</v>
      </c>
      <c r="BY15" s="245">
        <f t="shared" si="36"/>
        <v>0.7500000000000001</v>
      </c>
      <c r="BZ15" s="244">
        <f t="shared" si="37"/>
        <v>1</v>
      </c>
      <c r="CA15" s="244">
        <f t="shared" si="38"/>
        <v>1</v>
      </c>
      <c r="CB15" s="244">
        <f t="shared" si="39"/>
        <v>0</v>
      </c>
      <c r="CC15" s="162">
        <f t="shared" si="40"/>
        <v>0.4999999999999999</v>
      </c>
      <c r="CD15" s="162">
        <f t="shared" si="41"/>
        <v>0.5000000000000001</v>
      </c>
      <c r="CE15" s="162">
        <f t="shared" si="17"/>
        <v>1.5</v>
      </c>
      <c r="CF15" s="246">
        <f t="shared" si="18"/>
        <v>0.3333333333333334</v>
      </c>
      <c r="CG15" s="162">
        <f t="shared" si="42"/>
        <v>0.4999999999999999</v>
      </c>
      <c r="CH15" s="162">
        <f t="shared" si="43"/>
        <v>0.5000000000000001</v>
      </c>
      <c r="CI15" s="162">
        <f t="shared" si="44"/>
        <v>1.5</v>
      </c>
      <c r="CJ15" s="246">
        <f t="shared" si="45"/>
        <v>0.3333333333333334</v>
      </c>
    </row>
    <row r="16" spans="1:88" ht="15.75">
      <c r="A16" s="45" t="s">
        <v>61</v>
      </c>
      <c r="B16" s="42">
        <v>6</v>
      </c>
      <c r="C16" s="10">
        <f t="shared" si="19"/>
        <v>20</v>
      </c>
      <c r="D16" s="150">
        <f>'INPUT AND RESULTS'!D16</f>
        <v>18</v>
      </c>
      <c r="E16" s="150">
        <f>'INPUT AND RESULTS'!E16</f>
        <v>2</v>
      </c>
      <c r="F16" s="150">
        <f>'INPUT AND RESULTS'!F16</f>
        <v>14</v>
      </c>
      <c r="G16" s="9">
        <f t="shared" si="20"/>
        <v>2.075294117647059</v>
      </c>
      <c r="H16" s="9">
        <f t="shared" si="21"/>
        <v>0.9637188208616779</v>
      </c>
      <c r="I16" s="9">
        <f t="shared" si="22"/>
        <v>1.2651501550937885</v>
      </c>
      <c r="J16" s="9">
        <f t="shared" si="23"/>
        <v>1.1485879566452448</v>
      </c>
      <c r="K16" s="150">
        <f>'INPUT AND RESULTS'!L16</f>
        <v>0</v>
      </c>
      <c r="L16" s="43">
        <f>'INPUT AND RESULTS'!M16</f>
        <v>200</v>
      </c>
      <c r="M16" s="151">
        <f>'INPUT AND RESULTS'!N16</f>
        <v>0</v>
      </c>
      <c r="N16" s="151">
        <f>'INPUT AND RESULTS'!O16</f>
        <v>1</v>
      </c>
      <c r="O16" s="150">
        <f>'INPUT AND RESULTS'!P16</f>
        <v>0</v>
      </c>
      <c r="P16" s="150">
        <f>'INPUT AND RESULTS'!Q16</f>
        <v>105</v>
      </c>
      <c r="Q16" s="150">
        <f>'INPUT AND RESULTS'!R16</f>
        <v>105</v>
      </c>
      <c r="R16" s="150">
        <f>'INPUT AND RESULTS'!S16</f>
        <v>30</v>
      </c>
      <c r="S16" s="150">
        <f>'INPUT AND RESULTS'!T16</f>
        <v>0</v>
      </c>
      <c r="T16" s="150">
        <f>'INPUT AND RESULTS'!U16</f>
        <v>105</v>
      </c>
      <c r="U16" s="150">
        <f>'INPUT AND RESULTS'!V16</f>
        <v>30</v>
      </c>
      <c r="V16" s="150">
        <f>'INPUT AND RESULTS'!W16</f>
        <v>0</v>
      </c>
      <c r="W16" s="150">
        <f>'INPUT AND RESULTS'!X16</f>
        <v>30</v>
      </c>
      <c r="X16" s="150">
        <f>'INPUT AND RESULTS'!Y16</f>
        <v>90</v>
      </c>
      <c r="Y16" s="150" t="s">
        <v>187</v>
      </c>
      <c r="Z16" s="150">
        <f>'INPUT AND RESULTS'!AA16</f>
        <v>250</v>
      </c>
      <c r="AA16" s="150">
        <f>'INPUT AND RESULTS'!AB16</f>
        <v>250</v>
      </c>
      <c r="AB16" s="47" t="s">
        <v>61</v>
      </c>
      <c r="AC16" s="49">
        <f t="shared" si="0"/>
        <v>0.5</v>
      </c>
      <c r="AF16" s="104"/>
      <c r="AG16" s="24">
        <f t="shared" si="24"/>
        <v>4220.586227077643</v>
      </c>
      <c r="AH16" s="26">
        <f>V16*BG16*'Load and Resistance Factors'!$E$11+0.5*(F16-2*BD16)*T16*BI16*'Load and Resistance Factors'!$E$11*AC16+T16*E16*BH16*'Load and Resistance Factors'!$E$11</f>
        <v>4847.714510404174</v>
      </c>
      <c r="AI16" s="24">
        <v>5</v>
      </c>
      <c r="AJ16" s="21" t="str">
        <f t="shared" si="25"/>
        <v>---</v>
      </c>
      <c r="AK16" s="24">
        <f>(P16*C16*F16*'Load and Resistance Factors'!$B$6)</f>
        <v>29400</v>
      </c>
      <c r="AL16" s="24" t="str">
        <f>IF(K16=0,"---",IF(L16&gt;=F16,(0.5*P16*(AJ16-C16)*F16*'Load and Resistance Factors'!$B$6),(0.5*P16*(L16*(TAN(RADIANS(K16)))*L16*'Load and Resistance Factors'!$B$6))))</f>
        <v>---</v>
      </c>
      <c r="AM16" s="24" t="str">
        <f>IF(K16=0,"---",IF(L16&gt;=F16,"---",(P16*(L16*(TAN(RADIANS(K16))))*(F16-L16)*'Load and Resistance Factors'!$B$6)))</f>
        <v>---</v>
      </c>
      <c r="AN16" s="24">
        <f>IF(K16=0,Z16*F16*'Load and Resistance Factors'!$D$6,IF(L16&gt;=F16,Z16*F16*'Load and Resistance Factors'!$D$6,AA16*(F16-L16)*'Load and Resistance Factors'!$D$6))</f>
        <v>6125</v>
      </c>
      <c r="AO16" s="21">
        <f t="shared" si="26"/>
        <v>0</v>
      </c>
      <c r="AP16" s="24">
        <f t="shared" si="27"/>
        <v>7000</v>
      </c>
      <c r="AQ16" s="24" t="str">
        <f>IF(K16=0,"---",IF(L16&gt;=F16,AP16*M16*'Load and Resistance Factors'!$C$6,AP16*CB16*'Load and Resistance Factors'!$C$6))</f>
        <v>---</v>
      </c>
      <c r="AR16" s="24" t="str">
        <f>IF(K16=0,"---",IF(L16&gt;=F16,AP16*N16*'Load and Resistance Factors'!$C$6,AP16*BZ16*'Load and Resistance Factors'!$C$6))</f>
        <v>---</v>
      </c>
      <c r="AS16" s="24">
        <f t="shared" si="28"/>
        <v>1666.6666666666665</v>
      </c>
      <c r="AT16" s="24" t="str">
        <f>IF(K16=0,"---",IF(L16&gt;=F16,AS16*M16*'Load and Resistance Factors'!$E$6,AS16*CB16*'Load and Resistance Factors'!$E$6))</f>
        <v>---</v>
      </c>
      <c r="AU16" s="24" t="str">
        <f>IF(K16=0,"---",IF(L16&gt;=F16,AS16*N16*'Load and Resistance Factors'!$E$6,AS16*BZ16*'Load and Resistance Factors'!$E$6))</f>
        <v>---</v>
      </c>
      <c r="AV16" s="24">
        <f>IF(K16=0,(AP16*'Load and Resistance Factors'!$C$6+AS16*'Load and Resistance Factors'!$E$6),AR16+AU16)</f>
        <v>13416.666666666666</v>
      </c>
      <c r="AW16" s="34">
        <f>'Load and Resistance Factors'!$E$10*AX16*(TAN(RADIANS(W16)))</f>
        <v>16974.097914174996</v>
      </c>
      <c r="AX16" s="24">
        <f t="shared" si="1"/>
        <v>29400</v>
      </c>
      <c r="AY16" s="24">
        <f t="shared" si="2"/>
        <v>35525</v>
      </c>
      <c r="AZ16" s="24">
        <f t="shared" si="3"/>
        <v>205800</v>
      </c>
      <c r="BA16" s="24">
        <f>IF(K16=0,AZ16+(Z16*F16*(F16/2)*'Load and Resistance Factors'!$D$7),IF(L16&gt;=F16,AZ16+(AN16*(F16/2)),AZ16+(AN16*(L16+((F16-L16)/2)))))</f>
        <v>248675</v>
      </c>
      <c r="BB16" s="24">
        <f>IF(K16=0,(AP16*'Load and Resistance Factors'!$C$6*(C16/3))+(AS16*'Load and Resistance Factors'!$E$6*(C16/2)),IF(L16&gt;=F16,(AR16*(AJ16/3))+(AU16*(AJ16/2)),(AR16*(AJ16/3))+(AU16*(AJ16/2))))</f>
        <v>99166.66666666666</v>
      </c>
      <c r="BC16" s="21">
        <f t="shared" si="4"/>
        <v>3.3730158730158726</v>
      </c>
      <c r="BD16" s="21">
        <f t="shared" si="5"/>
        <v>2.791461412151067</v>
      </c>
      <c r="BE16" s="21">
        <f t="shared" si="6"/>
        <v>8.417077175697866</v>
      </c>
      <c r="BF16" s="21">
        <f t="shared" si="29"/>
        <v>3.5</v>
      </c>
      <c r="BG16" s="21">
        <f t="shared" si="30"/>
        <v>30.139627791519086</v>
      </c>
      <c r="BH16" s="21">
        <f t="shared" si="31"/>
        <v>18.401122218708668</v>
      </c>
      <c r="BI16" s="21">
        <f t="shared" si="32"/>
        <v>22.402486271104557</v>
      </c>
      <c r="BJ16" s="22">
        <f t="shared" si="33"/>
        <v>0</v>
      </c>
      <c r="BK16" s="23">
        <f t="shared" si="7"/>
        <v>0.3333333333333333</v>
      </c>
      <c r="BL16" s="4" t="str">
        <f t="shared" si="8"/>
        <v> ---</v>
      </c>
      <c r="BM16" s="25" t="str">
        <f t="shared" si="9"/>
        <v>  --</v>
      </c>
      <c r="BN16" s="21" t="str">
        <f t="shared" si="10"/>
        <v> ---</v>
      </c>
      <c r="BO16" s="27" t="str">
        <f t="shared" si="11"/>
        <v>---</v>
      </c>
      <c r="BP16" s="235">
        <f t="shared" si="12"/>
        <v>0.017453292519943295</v>
      </c>
      <c r="BQ16" s="235">
        <f t="shared" si="13"/>
        <v>0.5773502691896257</v>
      </c>
      <c r="BR16" s="235">
        <f t="shared" si="14"/>
        <v>0</v>
      </c>
      <c r="BS16" s="204" t="s">
        <v>1</v>
      </c>
      <c r="BT16" s="193">
        <f t="shared" si="46"/>
        <v>4</v>
      </c>
      <c r="BU16" s="243">
        <f t="shared" si="34"/>
        <v>0</v>
      </c>
      <c r="BV16" s="243">
        <f t="shared" si="15"/>
        <v>0</v>
      </c>
      <c r="BW16" s="244">
        <f t="shared" si="16"/>
        <v>1</v>
      </c>
      <c r="BX16" s="244">
        <f t="shared" si="35"/>
        <v>1</v>
      </c>
      <c r="BY16" s="245">
        <f t="shared" si="36"/>
        <v>0.7500000000000001</v>
      </c>
      <c r="BZ16" s="244">
        <f t="shared" si="37"/>
        <v>1</v>
      </c>
      <c r="CA16" s="244">
        <f t="shared" si="38"/>
        <v>1</v>
      </c>
      <c r="CB16" s="244">
        <f t="shared" si="39"/>
        <v>0</v>
      </c>
      <c r="CC16" s="162">
        <f t="shared" si="40"/>
        <v>0.4999999999999999</v>
      </c>
      <c r="CD16" s="162">
        <f t="shared" si="41"/>
        <v>0.5000000000000001</v>
      </c>
      <c r="CE16" s="162">
        <f t="shared" si="17"/>
        <v>1.5</v>
      </c>
      <c r="CF16" s="246">
        <f t="shared" si="18"/>
        <v>0.3333333333333334</v>
      </c>
      <c r="CG16" s="162">
        <f t="shared" si="42"/>
        <v>0.4999999999999999</v>
      </c>
      <c r="CH16" s="162">
        <f t="shared" si="43"/>
        <v>0.5000000000000001</v>
      </c>
      <c r="CI16" s="162">
        <f t="shared" si="44"/>
        <v>1.5</v>
      </c>
      <c r="CJ16" s="246">
        <f t="shared" si="45"/>
        <v>0.3333333333333334</v>
      </c>
    </row>
    <row r="17" spans="1:88" ht="15.75">
      <c r="A17" s="45" t="s">
        <v>61</v>
      </c>
      <c r="B17" s="42">
        <v>7</v>
      </c>
      <c r="C17" s="10">
        <f t="shared" si="19"/>
        <v>22</v>
      </c>
      <c r="D17" s="150">
        <f>'INPUT AND RESULTS'!D17</f>
        <v>20</v>
      </c>
      <c r="E17" s="150">
        <f>'INPUT AND RESULTS'!E17</f>
        <v>2</v>
      </c>
      <c r="F17" s="150">
        <f>'INPUT AND RESULTS'!F17</f>
        <v>16</v>
      </c>
      <c r="G17" s="9">
        <f t="shared" si="20"/>
        <v>2.301698301698302</v>
      </c>
      <c r="H17" s="9">
        <f t="shared" si="21"/>
        <v>0.8689236111111109</v>
      </c>
      <c r="I17" s="9">
        <f t="shared" si="22"/>
        <v>1.3409425606984857</v>
      </c>
      <c r="J17" s="9">
        <f t="shared" si="23"/>
        <v>1.2498010973028488</v>
      </c>
      <c r="K17" s="150">
        <f>'INPUT AND RESULTS'!L17</f>
        <v>0</v>
      </c>
      <c r="L17" s="43">
        <f>'INPUT AND RESULTS'!M17</f>
        <v>200</v>
      </c>
      <c r="M17" s="151">
        <f>'INPUT AND RESULTS'!N17</f>
        <v>0</v>
      </c>
      <c r="N17" s="151">
        <f>'INPUT AND RESULTS'!O17</f>
        <v>1</v>
      </c>
      <c r="O17" s="150">
        <f>'INPUT AND RESULTS'!P17</f>
        <v>0</v>
      </c>
      <c r="P17" s="150">
        <f>'INPUT AND RESULTS'!Q17</f>
        <v>105</v>
      </c>
      <c r="Q17" s="150">
        <f>'INPUT AND RESULTS'!R17</f>
        <v>105</v>
      </c>
      <c r="R17" s="150">
        <f>'INPUT AND RESULTS'!S17</f>
        <v>30</v>
      </c>
      <c r="S17" s="150">
        <f>'INPUT AND RESULTS'!T17</f>
        <v>0</v>
      </c>
      <c r="T17" s="150">
        <f>'INPUT AND RESULTS'!U17</f>
        <v>105</v>
      </c>
      <c r="U17" s="150">
        <f>'INPUT AND RESULTS'!V17</f>
        <v>30</v>
      </c>
      <c r="V17" s="150">
        <f>'INPUT AND RESULTS'!W17</f>
        <v>0</v>
      </c>
      <c r="W17" s="150">
        <f>'INPUT AND RESULTS'!X17</f>
        <v>30</v>
      </c>
      <c r="X17" s="150">
        <f>'INPUT AND RESULTS'!Y17</f>
        <v>90</v>
      </c>
      <c r="Y17" s="150" t="s">
        <v>187</v>
      </c>
      <c r="Z17" s="150">
        <f>'INPUT AND RESULTS'!AA17</f>
        <v>250</v>
      </c>
      <c r="AA17" s="150">
        <f>'INPUT AND RESULTS'!AB17</f>
        <v>250</v>
      </c>
      <c r="AB17" s="47" t="s">
        <v>61</v>
      </c>
      <c r="AC17" s="49">
        <f t="shared" si="0"/>
        <v>0.5</v>
      </c>
      <c r="AF17" s="104"/>
      <c r="AG17" s="24">
        <f t="shared" si="24"/>
        <v>4328.680290597397</v>
      </c>
      <c r="AH17" s="26">
        <f>V17*BG17*'Load and Resistance Factors'!$E$11+0.5*(F17-2*BD17)*T17*BI17*'Load and Resistance Factors'!$E$11*AC17+T17*E17*BH17*'Load and Resistance Factors'!$E$11</f>
        <v>5409.989377061842</v>
      </c>
      <c r="AI17" s="24">
        <v>6</v>
      </c>
      <c r="AJ17" s="21" t="str">
        <f t="shared" si="25"/>
        <v>---</v>
      </c>
      <c r="AK17" s="24">
        <f>(P17*C17*F17*'Load and Resistance Factors'!$B$6)</f>
        <v>36960</v>
      </c>
      <c r="AL17" s="24" t="str">
        <f>IF(K17=0,"---",IF(L17&gt;=F17,(0.5*P17*(AJ17-C17)*F17*'Load and Resistance Factors'!$B$6),(0.5*P17*(L17*(TAN(RADIANS(K17)))*L17*'Load and Resistance Factors'!$B$6))))</f>
        <v>---</v>
      </c>
      <c r="AM17" s="24" t="str">
        <f>IF(K17=0,"---",IF(L17&gt;=F17,"---",(P17*(L17*(TAN(RADIANS(K17))))*(F17-L17)*'Load and Resistance Factors'!$B$6)))</f>
        <v>---</v>
      </c>
      <c r="AN17" s="24">
        <f>IF(K17=0,Z17*F17*'Load and Resistance Factors'!$D$6,IF(L17&gt;=F17,Z17*F17*'Load and Resistance Factors'!$D$6,AA17*(F17-L17)*'Load and Resistance Factors'!$D$6))</f>
        <v>7000</v>
      </c>
      <c r="AO17" s="21">
        <f t="shared" si="26"/>
        <v>0</v>
      </c>
      <c r="AP17" s="24">
        <f t="shared" si="27"/>
        <v>8470</v>
      </c>
      <c r="AQ17" s="24" t="str">
        <f>IF(K17=0,"---",IF(L17&gt;=F17,AP17*M17*'Load and Resistance Factors'!$C$6,AP17*CB17*'Load and Resistance Factors'!$C$6))</f>
        <v>---</v>
      </c>
      <c r="AR17" s="24" t="str">
        <f>IF(K17=0,"---",IF(L17&gt;=F17,AP17*N17*'Load and Resistance Factors'!$C$6,AP17*BZ17*'Load and Resistance Factors'!$C$6))</f>
        <v>---</v>
      </c>
      <c r="AS17" s="24">
        <f t="shared" si="28"/>
        <v>1833.3333333333333</v>
      </c>
      <c r="AT17" s="24" t="str">
        <f>IF(K17=0,"---",IF(L17&gt;=F17,AS17*M17*'Load and Resistance Factors'!$E$6,AS17*CB17*'Load and Resistance Factors'!$E$6))</f>
        <v>---</v>
      </c>
      <c r="AU17" s="24" t="str">
        <f>IF(K17=0,"---",IF(L17&gt;=F17,AS17*N17*'Load and Resistance Factors'!$E$6,AS17*BZ17*'Load and Resistance Factors'!$E$6))</f>
        <v>---</v>
      </c>
      <c r="AV17" s="24">
        <f>IF(K17=0,(AP17*'Load and Resistance Factors'!$C$6+AS17*'Load and Resistance Factors'!$E$6),AR17+AU17)</f>
        <v>15913.333333333332</v>
      </c>
      <c r="AW17" s="34">
        <f>'Load and Resistance Factors'!$E$10*AX17*(TAN(RADIANS(W17)))</f>
        <v>21338.865949248568</v>
      </c>
      <c r="AX17" s="24">
        <f t="shared" si="1"/>
        <v>36960</v>
      </c>
      <c r="AY17" s="24">
        <f t="shared" si="2"/>
        <v>43960</v>
      </c>
      <c r="AZ17" s="24">
        <f t="shared" si="3"/>
        <v>295680</v>
      </c>
      <c r="BA17" s="24">
        <f>IF(K17=0,AZ17+(Z17*F17*(F17/2)*'Load and Resistance Factors'!$D$7),IF(L17&gt;=F17,AZ17+(AN17*(F17/2)),AZ17+(AN17*(L17+((F17-L17)/2)))))</f>
        <v>351680</v>
      </c>
      <c r="BB17" s="24">
        <f>IF(K17=0,(AP17*'Load and Resistance Factors'!$C$6*(C17/3))+(AS17*'Load and Resistance Factors'!$E$6*(C17/2)),IF(L17&gt;=F17,(AR17*(AJ17/3))+(AU17*(AJ17/2)),(AR17*(AJ17/3))+(AU17*(AJ17/2))))</f>
        <v>128461.66666666666</v>
      </c>
      <c r="BC17" s="21">
        <f t="shared" si="4"/>
        <v>3.4756944444444438</v>
      </c>
      <c r="BD17" s="21">
        <f t="shared" si="5"/>
        <v>2.92223991507431</v>
      </c>
      <c r="BE17" s="21">
        <f t="shared" si="6"/>
        <v>10.15552016985138</v>
      </c>
      <c r="BF17" s="21">
        <f t="shared" si="29"/>
        <v>4</v>
      </c>
      <c r="BG17" s="21">
        <f t="shared" si="30"/>
        <v>30.139627791519086</v>
      </c>
      <c r="BH17" s="21">
        <f t="shared" si="31"/>
        <v>18.401122218708668</v>
      </c>
      <c r="BI17" s="21">
        <f t="shared" si="32"/>
        <v>22.402486271104557</v>
      </c>
      <c r="BJ17" s="22">
        <f t="shared" si="33"/>
        <v>0</v>
      </c>
      <c r="BK17" s="23">
        <f t="shared" si="7"/>
        <v>0.3333333333333333</v>
      </c>
      <c r="BL17" s="1" t="str">
        <f t="shared" si="8"/>
        <v> ---</v>
      </c>
      <c r="BM17" s="25" t="str">
        <f t="shared" si="9"/>
        <v>  --</v>
      </c>
      <c r="BN17" s="21" t="str">
        <f t="shared" si="10"/>
        <v> ---</v>
      </c>
      <c r="BO17" s="27" t="str">
        <f t="shared" si="11"/>
        <v>---</v>
      </c>
      <c r="BP17" s="192">
        <f t="shared" si="12"/>
        <v>0.017453292519943295</v>
      </c>
      <c r="BQ17" s="192">
        <f t="shared" si="13"/>
        <v>0.5773502691896257</v>
      </c>
      <c r="BR17" s="192">
        <f t="shared" si="14"/>
        <v>0</v>
      </c>
      <c r="BS17" s="3" t="s">
        <v>1</v>
      </c>
      <c r="BT17" s="193">
        <f t="shared" si="46"/>
        <v>5</v>
      </c>
      <c r="BU17" s="243">
        <f t="shared" si="34"/>
        <v>0</v>
      </c>
      <c r="BV17" s="243">
        <f t="shared" si="15"/>
        <v>0</v>
      </c>
      <c r="BW17" s="244">
        <f t="shared" si="16"/>
        <v>1</v>
      </c>
      <c r="BX17" s="244">
        <f t="shared" si="35"/>
        <v>1</v>
      </c>
      <c r="BY17" s="245">
        <f t="shared" si="36"/>
        <v>0.7500000000000001</v>
      </c>
      <c r="BZ17" s="244">
        <f t="shared" si="37"/>
        <v>1</v>
      </c>
      <c r="CA17" s="244">
        <f t="shared" si="38"/>
        <v>1</v>
      </c>
      <c r="CB17" s="244">
        <f t="shared" si="39"/>
        <v>0</v>
      </c>
      <c r="CC17" s="162">
        <f t="shared" si="40"/>
        <v>0.4999999999999999</v>
      </c>
      <c r="CD17" s="162">
        <f t="shared" si="41"/>
        <v>0.5000000000000001</v>
      </c>
      <c r="CE17" s="162">
        <f t="shared" si="17"/>
        <v>1.5</v>
      </c>
      <c r="CF17" s="246">
        <f t="shared" si="18"/>
        <v>0.3333333333333334</v>
      </c>
      <c r="CG17" s="162">
        <f t="shared" si="42"/>
        <v>0.4999999999999999</v>
      </c>
      <c r="CH17" s="162">
        <f t="shared" si="43"/>
        <v>0.5000000000000001</v>
      </c>
      <c r="CI17" s="162">
        <f t="shared" si="44"/>
        <v>1.5</v>
      </c>
      <c r="CJ17" s="246">
        <f t="shared" si="45"/>
        <v>0.3333333333333334</v>
      </c>
    </row>
    <row r="18" spans="1:88" ht="15.75">
      <c r="A18" s="45" t="s">
        <v>61</v>
      </c>
      <c r="B18" s="42">
        <v>8</v>
      </c>
      <c r="C18" s="10">
        <f t="shared" si="19"/>
        <v>24</v>
      </c>
      <c r="D18" s="150">
        <f>'INPUT AND RESULTS'!D18</f>
        <v>22</v>
      </c>
      <c r="E18" s="150">
        <f>'INPUT AND RESULTS'!E18</f>
        <v>2</v>
      </c>
      <c r="F18" s="150">
        <f>'INPUT AND RESULTS'!F18</f>
        <v>17</v>
      </c>
      <c r="G18" s="9">
        <f t="shared" si="20"/>
        <v>2.234536082474227</v>
      </c>
      <c r="H18" s="9">
        <f t="shared" si="21"/>
        <v>0.8950403690888119</v>
      </c>
      <c r="I18" s="9">
        <f t="shared" si="22"/>
        <v>1.3283397170828983</v>
      </c>
      <c r="J18" s="9">
        <f t="shared" si="23"/>
        <v>1.156215304277284</v>
      </c>
      <c r="K18" s="150">
        <f>'INPUT AND RESULTS'!L18</f>
        <v>0</v>
      </c>
      <c r="L18" s="43">
        <f>'INPUT AND RESULTS'!M18</f>
        <v>200</v>
      </c>
      <c r="M18" s="151">
        <f>'INPUT AND RESULTS'!N18</f>
        <v>0</v>
      </c>
      <c r="N18" s="151">
        <f>'INPUT AND RESULTS'!O18</f>
        <v>1</v>
      </c>
      <c r="O18" s="150">
        <f>'INPUT AND RESULTS'!P18</f>
        <v>0</v>
      </c>
      <c r="P18" s="150">
        <f>'INPUT AND RESULTS'!Q18</f>
        <v>105</v>
      </c>
      <c r="Q18" s="150">
        <f>'INPUT AND RESULTS'!R18</f>
        <v>105</v>
      </c>
      <c r="R18" s="150">
        <f>'INPUT AND RESULTS'!S18</f>
        <v>30</v>
      </c>
      <c r="S18" s="150">
        <f>'INPUT AND RESULTS'!T18</f>
        <v>0</v>
      </c>
      <c r="T18" s="150">
        <f>'INPUT AND RESULTS'!U18</f>
        <v>105</v>
      </c>
      <c r="U18" s="150">
        <f>'INPUT AND RESULTS'!V18</f>
        <v>30</v>
      </c>
      <c r="V18" s="150">
        <f>'INPUT AND RESULTS'!W18</f>
        <v>0</v>
      </c>
      <c r="W18" s="150">
        <f>'INPUT AND RESULTS'!X18</f>
        <v>30</v>
      </c>
      <c r="X18" s="150">
        <f>'INPUT AND RESULTS'!Y18</f>
        <v>90</v>
      </c>
      <c r="Y18" s="150" t="s">
        <v>187</v>
      </c>
      <c r="Z18" s="150">
        <f>'INPUT AND RESULTS'!AA18</f>
        <v>250</v>
      </c>
      <c r="AA18" s="150">
        <f>'INPUT AND RESULTS'!AB18</f>
        <v>250</v>
      </c>
      <c r="AB18" s="47" t="s">
        <v>61</v>
      </c>
      <c r="AC18" s="49">
        <f t="shared" si="0"/>
        <v>0.5</v>
      </c>
      <c r="AF18" s="104"/>
      <c r="AG18" s="24">
        <f t="shared" si="24"/>
        <v>4780.330856802462</v>
      </c>
      <c r="AH18" s="26">
        <f>V18*BG18*'Load and Resistance Factors'!$E$11+0.5*(F18-2*BD18)*T18*BI18*'Load and Resistance Factors'!$E$11*AC18+T18*E18*BH18*'Load and Resistance Factors'!$E$11</f>
        <v>5527.091696143949</v>
      </c>
      <c r="AI18" s="24">
        <v>7</v>
      </c>
      <c r="AJ18" s="21" t="str">
        <f t="shared" si="25"/>
        <v>---</v>
      </c>
      <c r="AK18" s="24">
        <f>(P18*C18*F18*'Load and Resistance Factors'!$B$6)</f>
        <v>42840</v>
      </c>
      <c r="AL18" s="24" t="str">
        <f>IF(K18=0,"---",IF(L18&gt;=F18,(0.5*P18*(AJ18-C18)*F18*'Load and Resistance Factors'!$B$6),(0.5*P18*(L18*(TAN(RADIANS(K18)))*L18*'Load and Resistance Factors'!$B$6))))</f>
        <v>---</v>
      </c>
      <c r="AM18" s="24" t="str">
        <f>IF(K18=0,"---",IF(L18&gt;=F18,"---",(P18*(L18*(TAN(RADIANS(K18))))*(F18-L18)*'Load and Resistance Factors'!$B$6)))</f>
        <v>---</v>
      </c>
      <c r="AN18" s="24">
        <f>IF(K18=0,Z18*F18*'Load and Resistance Factors'!$D$6,IF(L18&gt;=F18,Z18*F18*'Load and Resistance Factors'!$D$6,AA18*(F18-L18)*'Load and Resistance Factors'!$D$6))</f>
        <v>7437.5</v>
      </c>
      <c r="AO18" s="21">
        <f t="shared" si="26"/>
        <v>0</v>
      </c>
      <c r="AP18" s="24">
        <f t="shared" si="27"/>
        <v>10080</v>
      </c>
      <c r="AQ18" s="24" t="str">
        <f>IF(K18=0,"---",IF(L18&gt;=F18,AP18*M18*'Load and Resistance Factors'!$C$6,AP18*CB18*'Load and Resistance Factors'!$C$6))</f>
        <v>---</v>
      </c>
      <c r="AR18" s="24" t="str">
        <f>IF(K18=0,"---",IF(L18&gt;=F18,AP18*N18*'Load and Resistance Factors'!$C$6,AP18*BZ18*'Load and Resistance Factors'!$C$6))</f>
        <v>---</v>
      </c>
      <c r="AS18" s="24">
        <f t="shared" si="28"/>
        <v>2000</v>
      </c>
      <c r="AT18" s="24" t="str">
        <f>IF(K18=0,"---",IF(L18&gt;=F18,AS18*M18*'Load and Resistance Factors'!$E$6,AS18*CB18*'Load and Resistance Factors'!$E$6))</f>
        <v>---</v>
      </c>
      <c r="AU18" s="24" t="str">
        <f>IF(K18=0,"---",IF(L18&gt;=F18,AS18*N18*'Load and Resistance Factors'!$E$6,AS18*BZ18*'Load and Resistance Factors'!$E$6))</f>
        <v>---</v>
      </c>
      <c r="AV18" s="24">
        <f>IF(K18=0,(AP18*'Load and Resistance Factors'!$C$6+AS18*'Load and Resistance Factors'!$E$6),AR18+AU18)</f>
        <v>18620</v>
      </c>
      <c r="AW18" s="34">
        <f>'Load and Resistance Factors'!$E$10*AX18*(TAN(RADIANS(W18)))</f>
        <v>24733.685532083568</v>
      </c>
      <c r="AX18" s="24">
        <f t="shared" si="1"/>
        <v>42840</v>
      </c>
      <c r="AY18" s="24">
        <f t="shared" si="2"/>
        <v>50277.5</v>
      </c>
      <c r="AZ18" s="24">
        <f t="shared" si="3"/>
        <v>364140</v>
      </c>
      <c r="BA18" s="24">
        <f>IF(K18=0,AZ18+(Z18*F18*(F18/2)*'Load and Resistance Factors'!$D$7),IF(L18&gt;=F18,AZ18+(AN18*(F18/2)),AZ18+(AN18*(L18+((F18-L18)/2)))))</f>
        <v>427358.75</v>
      </c>
      <c r="BB18" s="24">
        <f>IF(K18=0,(AP18*'Load and Resistance Factors'!$C$6*(C18/3))+(AS18*'Load and Resistance Factors'!$E$6*(C18/2)),IF(L18&gt;=F18,(AR18*(AJ18/3))+(AU18*(AJ18/2)),(AR18*(AJ18/3))+(AU18*(AJ18/2))))</f>
        <v>162960</v>
      </c>
      <c r="BC18" s="21">
        <f t="shared" si="4"/>
        <v>3.803921568627451</v>
      </c>
      <c r="BD18" s="21">
        <f t="shared" si="5"/>
        <v>3.2412112774103727</v>
      </c>
      <c r="BE18" s="21">
        <f t="shared" si="6"/>
        <v>10.517577445179255</v>
      </c>
      <c r="BF18" s="21">
        <f t="shared" si="29"/>
        <v>4.25</v>
      </c>
      <c r="BG18" s="21">
        <f t="shared" si="30"/>
        <v>30.139627791519086</v>
      </c>
      <c r="BH18" s="21">
        <f t="shared" si="31"/>
        <v>18.401122218708668</v>
      </c>
      <c r="BI18" s="21">
        <f t="shared" si="32"/>
        <v>22.402486271104557</v>
      </c>
      <c r="BJ18" s="22">
        <f t="shared" si="33"/>
        <v>0</v>
      </c>
      <c r="BK18" s="23">
        <f t="shared" si="7"/>
        <v>0.3333333333333333</v>
      </c>
      <c r="BL18" s="4" t="str">
        <f t="shared" si="8"/>
        <v> ---</v>
      </c>
      <c r="BM18" s="25" t="str">
        <f t="shared" si="9"/>
        <v>  --</v>
      </c>
      <c r="BN18" s="21" t="str">
        <f t="shared" si="10"/>
        <v> ---</v>
      </c>
      <c r="BO18" s="27" t="str">
        <f t="shared" si="11"/>
        <v>---</v>
      </c>
      <c r="BP18" s="235">
        <f t="shared" si="12"/>
        <v>0.017453292519943295</v>
      </c>
      <c r="BQ18" s="235">
        <f t="shared" si="13"/>
        <v>0.5773502691896257</v>
      </c>
      <c r="BR18" s="235">
        <f t="shared" si="14"/>
        <v>0</v>
      </c>
      <c r="BS18" s="204" t="s">
        <v>1</v>
      </c>
      <c r="BT18" s="193">
        <f t="shared" si="46"/>
        <v>6</v>
      </c>
      <c r="BU18" s="243">
        <f t="shared" si="34"/>
        <v>0</v>
      </c>
      <c r="BV18" s="243">
        <f t="shared" si="15"/>
        <v>0</v>
      </c>
      <c r="BW18" s="244">
        <f t="shared" si="16"/>
        <v>1</v>
      </c>
      <c r="BX18" s="244">
        <f t="shared" si="35"/>
        <v>1</v>
      </c>
      <c r="BY18" s="245">
        <f t="shared" si="36"/>
        <v>0.7500000000000001</v>
      </c>
      <c r="BZ18" s="244">
        <f t="shared" si="37"/>
        <v>1</v>
      </c>
      <c r="CA18" s="244">
        <f t="shared" si="38"/>
        <v>1</v>
      </c>
      <c r="CB18" s="244">
        <f t="shared" si="39"/>
        <v>0</v>
      </c>
      <c r="CC18" s="162">
        <f t="shared" si="40"/>
        <v>0.4999999999999999</v>
      </c>
      <c r="CD18" s="162">
        <f t="shared" si="41"/>
        <v>0.5000000000000001</v>
      </c>
      <c r="CE18" s="162">
        <f t="shared" si="17"/>
        <v>1.5</v>
      </c>
      <c r="CF18" s="246">
        <f t="shared" si="18"/>
        <v>0.3333333333333334</v>
      </c>
      <c r="CG18" s="162">
        <f t="shared" si="42"/>
        <v>0.4999999999999999</v>
      </c>
      <c r="CH18" s="162">
        <f t="shared" si="43"/>
        <v>0.5000000000000001</v>
      </c>
      <c r="CI18" s="162">
        <f t="shared" si="44"/>
        <v>1.5</v>
      </c>
      <c r="CJ18" s="246">
        <f t="shared" si="45"/>
        <v>0.3333333333333334</v>
      </c>
    </row>
    <row r="19" spans="1:88" ht="15.75">
      <c r="A19" s="45" t="s">
        <v>61</v>
      </c>
      <c r="B19" s="42">
        <v>9</v>
      </c>
      <c r="C19" s="10">
        <f t="shared" si="19"/>
        <v>26</v>
      </c>
      <c r="D19" s="150">
        <f>'INPUT AND RESULTS'!D19</f>
        <v>24</v>
      </c>
      <c r="E19" s="150">
        <f>'INPUT AND RESULTS'!E19</f>
        <v>2</v>
      </c>
      <c r="F19" s="150">
        <f>'INPUT AND RESULTS'!F19</f>
        <v>19</v>
      </c>
      <c r="G19" s="9">
        <f t="shared" si="20"/>
        <v>2.426437640029873</v>
      </c>
      <c r="H19" s="9">
        <f t="shared" si="21"/>
        <v>0.8242536164973837</v>
      </c>
      <c r="I19" s="9">
        <f t="shared" si="22"/>
        <v>1.3905196624144507</v>
      </c>
      <c r="J19" s="9">
        <f t="shared" si="23"/>
        <v>1.2392694329485847</v>
      </c>
      <c r="K19" s="150">
        <f>'INPUT AND RESULTS'!L19</f>
        <v>0</v>
      </c>
      <c r="L19" s="43">
        <f>'INPUT AND RESULTS'!M19</f>
        <v>200</v>
      </c>
      <c r="M19" s="151">
        <f>'INPUT AND RESULTS'!N19</f>
        <v>0</v>
      </c>
      <c r="N19" s="151">
        <f>'INPUT AND RESULTS'!O19</f>
        <v>1</v>
      </c>
      <c r="O19" s="150">
        <f>'INPUT AND RESULTS'!P19</f>
        <v>0</v>
      </c>
      <c r="P19" s="150">
        <f>'INPUT AND RESULTS'!Q19</f>
        <v>105</v>
      </c>
      <c r="Q19" s="150">
        <f>'INPUT AND RESULTS'!R19</f>
        <v>105</v>
      </c>
      <c r="R19" s="150">
        <f>'INPUT AND RESULTS'!S19</f>
        <v>30</v>
      </c>
      <c r="S19" s="150">
        <f>'INPUT AND RESULTS'!T19</f>
        <v>0</v>
      </c>
      <c r="T19" s="150">
        <f>'INPUT AND RESULTS'!U19</f>
        <v>105</v>
      </c>
      <c r="U19" s="150">
        <f>'INPUT AND RESULTS'!V19</f>
        <v>30</v>
      </c>
      <c r="V19" s="150">
        <f>'INPUT AND RESULTS'!W19</f>
        <v>0</v>
      </c>
      <c r="W19" s="150">
        <f>'INPUT AND RESULTS'!X19</f>
        <v>30</v>
      </c>
      <c r="X19" s="150">
        <f>'INPUT AND RESULTS'!Y19</f>
        <v>90</v>
      </c>
      <c r="Y19" s="150" t="s">
        <v>187</v>
      </c>
      <c r="Z19" s="150">
        <f>'INPUT AND RESULTS'!AA19</f>
        <v>250</v>
      </c>
      <c r="AA19" s="150">
        <f>'INPUT AND RESULTS'!AB19</f>
        <v>250</v>
      </c>
      <c r="AB19" s="47" t="s">
        <v>61</v>
      </c>
      <c r="AC19" s="49">
        <f t="shared" si="0"/>
        <v>0.5</v>
      </c>
      <c r="AF19" s="104"/>
      <c r="AG19" s="24">
        <f t="shared" si="24"/>
        <v>4912.400431187943</v>
      </c>
      <c r="AH19" s="26">
        <f>V19*BG19*'Load and Resistance Factors'!$E$11+0.5*(F19-2*BD19)*T19*BI19*'Load and Resistance Factors'!$E$11*AC19+T19*E19*BH19*'Load and Resistance Factors'!$E$11</f>
        <v>6087.787696774665</v>
      </c>
      <c r="AI19" s="24">
        <v>8</v>
      </c>
      <c r="AJ19" s="21" t="str">
        <f t="shared" si="25"/>
        <v>---</v>
      </c>
      <c r="AK19" s="24">
        <f>(P19*C19*F19*'Load and Resistance Factors'!$B$6)</f>
        <v>51870</v>
      </c>
      <c r="AL19" s="24" t="str">
        <f>IF(K19=0,"---",IF(L19&gt;=F19,(0.5*P19*(AJ19-C19)*F19*'Load and Resistance Factors'!$B$6),(0.5*P19*(L19*(TAN(RADIANS(K19)))*L19*'Load and Resistance Factors'!$B$6))))</f>
        <v>---</v>
      </c>
      <c r="AM19" s="24" t="str">
        <f>IF(K19=0,"---",IF(L19&gt;=F19,"---",(P19*(L19*(TAN(RADIANS(K19))))*(F19-L19)*'Load and Resistance Factors'!$B$6)))</f>
        <v>---</v>
      </c>
      <c r="AN19" s="24">
        <f>IF(K19=0,Z19*F19*'Load and Resistance Factors'!$D$6,IF(L19&gt;=F19,Z19*F19*'Load and Resistance Factors'!$D$6,AA19*(F19-L19)*'Load and Resistance Factors'!$D$6))</f>
        <v>8312.5</v>
      </c>
      <c r="AO19" s="21">
        <f t="shared" si="26"/>
        <v>0</v>
      </c>
      <c r="AP19" s="24">
        <f t="shared" si="27"/>
        <v>11830</v>
      </c>
      <c r="AQ19" s="24" t="str">
        <f>IF(K19=0,"---",IF(L19&gt;=F19,AP19*M19*'Load and Resistance Factors'!$C$6,AP19*CB19*'Load and Resistance Factors'!$C$6))</f>
        <v>---</v>
      </c>
      <c r="AR19" s="24" t="str">
        <f>IF(K19=0,"---",IF(L19&gt;=F19,AP19*N19*'Load and Resistance Factors'!$C$6,AP19*BZ19*'Load and Resistance Factors'!$C$6))</f>
        <v>---</v>
      </c>
      <c r="AS19" s="24">
        <f t="shared" si="28"/>
        <v>2166.6666666666665</v>
      </c>
      <c r="AT19" s="24" t="str">
        <f>IF(K19=0,"---",IF(L19&gt;=F19,AS19*M19*'Load and Resistance Factors'!$E$6,AS19*CB19*'Load and Resistance Factors'!$E$6))</f>
        <v>---</v>
      </c>
      <c r="AU19" s="24" t="str">
        <f>IF(K19=0,"---",IF(L19&gt;=F19,AS19*N19*'Load and Resistance Factors'!$E$6,AS19*BZ19*'Load and Resistance Factors'!$E$6))</f>
        <v>---</v>
      </c>
      <c r="AV19" s="24">
        <f>IF(K19=0,(AP19*'Load and Resistance Factors'!$C$6+AS19*'Load and Resistance Factors'!$E$6),AR19+AU19)</f>
        <v>21536.666666666668</v>
      </c>
      <c r="AW19" s="34">
        <f>'Load and Resistance Factors'!$E$10*AX19*(TAN(RADIANS(W19)))</f>
        <v>29947.158462865886</v>
      </c>
      <c r="AX19" s="24">
        <f t="shared" si="1"/>
        <v>51870</v>
      </c>
      <c r="AY19" s="24">
        <f t="shared" si="2"/>
        <v>60182.5</v>
      </c>
      <c r="AZ19" s="24">
        <f t="shared" si="3"/>
        <v>492765</v>
      </c>
      <c r="BA19" s="24">
        <f>IF(K19=0,AZ19+(Z19*F19*(F19/2)*'Load and Resistance Factors'!$D$7),IF(L19&gt;=F19,AZ19+(AN19*(F19/2)),AZ19+(AN19*(L19+((F19-L19)/2)))))</f>
        <v>571733.75</v>
      </c>
      <c r="BB19" s="24">
        <f>IF(K19=0,(AP19*'Load and Resistance Factors'!$C$6*(C19/3))+(AS19*'Load and Resistance Factors'!$E$6*(C19/2)),IF(L19&gt;=F19,(AR19*(AJ19/3))+(AU19*(AJ19/2)),(AR19*(AJ19/3))+(AU19*(AJ19/2))))</f>
        <v>203081.66666666666</v>
      </c>
      <c r="BC19" s="21">
        <f t="shared" si="4"/>
        <v>3.9152046783625725</v>
      </c>
      <c r="BD19" s="21">
        <f t="shared" si="5"/>
        <v>3.3744305515169133</v>
      </c>
      <c r="BE19" s="21">
        <f t="shared" si="6"/>
        <v>12.251138896966173</v>
      </c>
      <c r="BF19" s="21">
        <f t="shared" si="29"/>
        <v>4.75</v>
      </c>
      <c r="BG19" s="21">
        <f t="shared" si="30"/>
        <v>30.139627791519086</v>
      </c>
      <c r="BH19" s="21">
        <f t="shared" si="31"/>
        <v>18.401122218708668</v>
      </c>
      <c r="BI19" s="21">
        <f t="shared" si="32"/>
        <v>22.402486271104557</v>
      </c>
      <c r="BJ19" s="22">
        <f t="shared" si="33"/>
        <v>0</v>
      </c>
      <c r="BK19" s="23">
        <f t="shared" si="7"/>
        <v>0.3333333333333333</v>
      </c>
      <c r="BL19" s="1" t="str">
        <f t="shared" si="8"/>
        <v> ---</v>
      </c>
      <c r="BM19" s="25" t="str">
        <f t="shared" si="9"/>
        <v>  --</v>
      </c>
      <c r="BN19" s="21" t="str">
        <f t="shared" si="10"/>
        <v> ---</v>
      </c>
      <c r="BO19" s="27" t="str">
        <f t="shared" si="11"/>
        <v>---</v>
      </c>
      <c r="BP19" s="192">
        <f t="shared" si="12"/>
        <v>0.017453292519943295</v>
      </c>
      <c r="BQ19" s="192">
        <f t="shared" si="13"/>
        <v>0.5773502691896257</v>
      </c>
      <c r="BR19" s="192">
        <f t="shared" si="14"/>
        <v>0</v>
      </c>
      <c r="BS19" s="3" t="s">
        <v>1</v>
      </c>
      <c r="BT19" s="193">
        <f t="shared" si="46"/>
        <v>7</v>
      </c>
      <c r="BU19" s="243">
        <f t="shared" si="34"/>
        <v>0</v>
      </c>
      <c r="BV19" s="243">
        <f t="shared" si="15"/>
        <v>0</v>
      </c>
      <c r="BW19" s="244">
        <f t="shared" si="16"/>
        <v>1</v>
      </c>
      <c r="BX19" s="244">
        <f t="shared" si="35"/>
        <v>1</v>
      </c>
      <c r="BY19" s="245">
        <f t="shared" si="36"/>
        <v>0.7500000000000001</v>
      </c>
      <c r="BZ19" s="244">
        <f t="shared" si="37"/>
        <v>1</v>
      </c>
      <c r="CA19" s="244">
        <f t="shared" si="38"/>
        <v>1</v>
      </c>
      <c r="CB19" s="244">
        <f t="shared" si="39"/>
        <v>0</v>
      </c>
      <c r="CC19" s="162">
        <f t="shared" si="40"/>
        <v>0.4999999999999999</v>
      </c>
      <c r="CD19" s="162">
        <f t="shared" si="41"/>
        <v>0.5000000000000001</v>
      </c>
      <c r="CE19" s="162">
        <f t="shared" si="17"/>
        <v>1.5</v>
      </c>
      <c r="CF19" s="246">
        <f t="shared" si="18"/>
        <v>0.3333333333333334</v>
      </c>
      <c r="CG19" s="162">
        <f t="shared" si="42"/>
        <v>0.4999999999999999</v>
      </c>
      <c r="CH19" s="162">
        <f t="shared" si="43"/>
        <v>0.5000000000000001</v>
      </c>
      <c r="CI19" s="162">
        <f t="shared" si="44"/>
        <v>1.5</v>
      </c>
      <c r="CJ19" s="246">
        <f t="shared" si="45"/>
        <v>0.3333333333333334</v>
      </c>
    </row>
    <row r="20" spans="1:88" ht="15.75">
      <c r="A20" s="45" t="s">
        <v>61</v>
      </c>
      <c r="B20" s="42">
        <v>10</v>
      </c>
      <c r="C20" s="10">
        <f t="shared" si="19"/>
        <v>28</v>
      </c>
      <c r="D20" s="150">
        <f>'INPUT AND RESULTS'!D20</f>
        <v>26</v>
      </c>
      <c r="E20" s="150">
        <f>'INPUT AND RESULTS'!E20</f>
        <v>2</v>
      </c>
      <c r="F20" s="150">
        <f>'INPUT AND RESULTS'!F20</f>
        <v>20</v>
      </c>
      <c r="G20" s="9">
        <f t="shared" si="20"/>
        <v>2.3591087811271296</v>
      </c>
      <c r="H20" s="9">
        <f t="shared" si="21"/>
        <v>0.8477777777777776</v>
      </c>
      <c r="I20" s="9">
        <f t="shared" si="22"/>
        <v>1.3764642179355315</v>
      </c>
      <c r="J20" s="9">
        <f t="shared" si="23"/>
        <v>1.159694937877355</v>
      </c>
      <c r="K20" s="150">
        <f>'INPUT AND RESULTS'!L20</f>
        <v>0</v>
      </c>
      <c r="L20" s="43">
        <f>'INPUT AND RESULTS'!M20</f>
        <v>200</v>
      </c>
      <c r="M20" s="151">
        <f>'INPUT AND RESULTS'!N20</f>
        <v>0</v>
      </c>
      <c r="N20" s="151">
        <f>'INPUT AND RESULTS'!O20</f>
        <v>1</v>
      </c>
      <c r="O20" s="150">
        <f>'INPUT AND RESULTS'!P20</f>
        <v>0</v>
      </c>
      <c r="P20" s="150">
        <f>'INPUT AND RESULTS'!Q20</f>
        <v>105</v>
      </c>
      <c r="Q20" s="150">
        <f>'INPUT AND RESULTS'!R20</f>
        <v>105</v>
      </c>
      <c r="R20" s="150">
        <f>'INPUT AND RESULTS'!S20</f>
        <v>30</v>
      </c>
      <c r="S20" s="150">
        <f>'INPUT AND RESULTS'!T20</f>
        <v>0</v>
      </c>
      <c r="T20" s="150">
        <f>'INPUT AND RESULTS'!U20</f>
        <v>105</v>
      </c>
      <c r="U20" s="150">
        <f>'INPUT AND RESULTS'!V20</f>
        <v>30</v>
      </c>
      <c r="V20" s="150">
        <f>'INPUT AND RESULTS'!W20</f>
        <v>0</v>
      </c>
      <c r="W20" s="150">
        <f>'INPUT AND RESULTS'!X20</f>
        <v>30</v>
      </c>
      <c r="X20" s="150">
        <f>'INPUT AND RESULTS'!Y20</f>
        <v>90</v>
      </c>
      <c r="Y20" s="150" t="s">
        <v>187</v>
      </c>
      <c r="Z20" s="150">
        <f>'INPUT AND RESULTS'!AA20</f>
        <v>250</v>
      </c>
      <c r="AA20" s="150">
        <f>'INPUT AND RESULTS'!AB20</f>
        <v>250</v>
      </c>
      <c r="AB20" s="47" t="s">
        <v>61</v>
      </c>
      <c r="AC20" s="49">
        <f t="shared" si="0"/>
        <v>0.5</v>
      </c>
      <c r="AF20" s="104"/>
      <c r="AG20" s="24">
        <f t="shared" si="24"/>
        <v>5352.453744252244</v>
      </c>
      <c r="AH20" s="26">
        <f>V20*BG20*'Load and Resistance Factors'!$E$11+0.5*(F20-2*BD20)*T20*BI20*'Load and Resistance Factors'!$E$11*AC20+T20*E20*BH20*'Load and Resistance Factors'!$E$11</f>
        <v>6207.213512432022</v>
      </c>
      <c r="AI20" s="24">
        <v>9</v>
      </c>
      <c r="AJ20" s="21" t="str">
        <f t="shared" si="25"/>
        <v>---</v>
      </c>
      <c r="AK20" s="24">
        <f>(P20*C20*F20*'Load and Resistance Factors'!$B$6)</f>
        <v>58800</v>
      </c>
      <c r="AL20" s="24" t="str">
        <f>IF(K20=0,"---",IF(L20&gt;=F20,(0.5*P20*(AJ20-C20)*F20*'Load and Resistance Factors'!$B$6),(0.5*P20*(L20*(TAN(RADIANS(K20)))*L20*'Load and Resistance Factors'!$B$6))))</f>
        <v>---</v>
      </c>
      <c r="AM20" s="24" t="str">
        <f>IF(K20=0,"---",IF(L20&gt;=F20,"---",(P20*(L20*(TAN(RADIANS(K20))))*(F20-L20)*'Load and Resistance Factors'!$B$6)))</f>
        <v>---</v>
      </c>
      <c r="AN20" s="24">
        <f>IF(K20=0,Z20*F20*'Load and Resistance Factors'!$D$6,IF(L20&gt;=F20,Z20*F20*'Load and Resistance Factors'!$D$6,AA20*(F20-L20)*'Load and Resistance Factors'!$D$6))</f>
        <v>8750</v>
      </c>
      <c r="AO20" s="21">
        <f t="shared" si="26"/>
        <v>0</v>
      </c>
      <c r="AP20" s="24">
        <f t="shared" si="27"/>
        <v>13720</v>
      </c>
      <c r="AQ20" s="24" t="str">
        <f>IF(K20=0,"---",IF(L20&gt;=F20,AP20*M20*'Load and Resistance Factors'!$C$6,AP20*CB20*'Load and Resistance Factors'!$C$6))</f>
        <v>---</v>
      </c>
      <c r="AR20" s="24" t="str">
        <f>IF(K20=0,"---",IF(L20&gt;=F20,AP20*N20*'Load and Resistance Factors'!$C$6,AP20*BZ20*'Load and Resistance Factors'!$C$6))</f>
        <v>---</v>
      </c>
      <c r="AS20" s="24">
        <f t="shared" si="28"/>
        <v>2333.333333333333</v>
      </c>
      <c r="AT20" s="24" t="str">
        <f>IF(K20=0,"---",IF(L20&gt;=F20,AS20*M20*'Load and Resistance Factors'!$E$6,AS20*CB20*'Load and Resistance Factors'!$E$6))</f>
        <v>---</v>
      </c>
      <c r="AU20" s="24" t="str">
        <f>IF(K20=0,"---",IF(L20&gt;=F20,AS20*N20*'Load and Resistance Factors'!$E$6,AS20*BZ20*'Load and Resistance Factors'!$E$6))</f>
        <v>---</v>
      </c>
      <c r="AV20" s="24">
        <f>IF(K20=0,(AP20*'Load and Resistance Factors'!$C$6+AS20*'Load and Resistance Factors'!$E$6),AR20+AU20)</f>
        <v>24663.333333333332</v>
      </c>
      <c r="AW20" s="34">
        <f>'Load and Resistance Factors'!$E$10*AX20*(TAN(RADIANS(W20)))</f>
        <v>33948.19582834999</v>
      </c>
      <c r="AX20" s="24">
        <f t="shared" si="1"/>
        <v>58800</v>
      </c>
      <c r="AY20" s="24">
        <f t="shared" si="2"/>
        <v>67550</v>
      </c>
      <c r="AZ20" s="24">
        <f t="shared" si="3"/>
        <v>588000</v>
      </c>
      <c r="BA20" s="24">
        <f>IF(K20=0,AZ20+(Z20*F20*(F20/2)*'Load and Resistance Factors'!$D$7),IF(L20&gt;=F20,AZ20+(AN20*(F20/2)),AZ20+(AN20*(L20+((F20-L20)/2)))))</f>
        <v>675500</v>
      </c>
      <c r="BB20" s="24">
        <f>IF(K20=0,(AP20*'Load and Resistance Factors'!$C$6*(C20/3))+(AS20*'Load and Resistance Factors'!$E$6*(C20/2)),IF(L20&gt;=F20,(AR20*(AJ20/3))+(AU20*(AJ20/2)),(AR20*(AJ20/3))+(AU20*(AJ20/2))))</f>
        <v>249246.66666666666</v>
      </c>
      <c r="BC20" s="21">
        <f t="shared" si="4"/>
        <v>4.238888888888888</v>
      </c>
      <c r="BD20" s="21">
        <f t="shared" si="5"/>
        <v>3.6898100172711565</v>
      </c>
      <c r="BE20" s="21">
        <f t="shared" si="6"/>
        <v>12.620379965457687</v>
      </c>
      <c r="BF20" s="21">
        <f t="shared" si="29"/>
        <v>5</v>
      </c>
      <c r="BG20" s="21">
        <f t="shared" si="30"/>
        <v>30.139627791519086</v>
      </c>
      <c r="BH20" s="21">
        <f t="shared" si="31"/>
        <v>18.401122218708668</v>
      </c>
      <c r="BI20" s="21">
        <f t="shared" si="32"/>
        <v>22.402486271104557</v>
      </c>
      <c r="BJ20" s="22">
        <f t="shared" si="33"/>
        <v>0</v>
      </c>
      <c r="BK20" s="23">
        <f t="shared" si="7"/>
        <v>0.3333333333333333</v>
      </c>
      <c r="BL20" s="4" t="str">
        <f t="shared" si="8"/>
        <v> ---</v>
      </c>
      <c r="BM20" s="25" t="str">
        <f t="shared" si="9"/>
        <v>  --</v>
      </c>
      <c r="BN20" s="21" t="str">
        <f t="shared" si="10"/>
        <v> ---</v>
      </c>
      <c r="BO20" s="27" t="str">
        <f t="shared" si="11"/>
        <v>---</v>
      </c>
      <c r="BP20" s="235">
        <f t="shared" si="12"/>
        <v>0.017453292519943295</v>
      </c>
      <c r="BQ20" s="235">
        <f t="shared" si="13"/>
        <v>0.5773502691896257</v>
      </c>
      <c r="BR20" s="235">
        <f t="shared" si="14"/>
        <v>0</v>
      </c>
      <c r="BS20" s="204" t="s">
        <v>1</v>
      </c>
      <c r="BT20" s="193">
        <f t="shared" si="46"/>
        <v>8</v>
      </c>
      <c r="BU20" s="243">
        <f t="shared" si="34"/>
        <v>0</v>
      </c>
      <c r="BV20" s="243">
        <f t="shared" si="15"/>
        <v>0</v>
      </c>
      <c r="BW20" s="244">
        <f t="shared" si="16"/>
        <v>1</v>
      </c>
      <c r="BX20" s="244">
        <f t="shared" si="35"/>
        <v>1</v>
      </c>
      <c r="BY20" s="245">
        <f t="shared" si="36"/>
        <v>0.7500000000000001</v>
      </c>
      <c r="BZ20" s="244">
        <f t="shared" si="37"/>
        <v>1</v>
      </c>
      <c r="CA20" s="244">
        <f t="shared" si="38"/>
        <v>1</v>
      </c>
      <c r="CB20" s="244">
        <f t="shared" si="39"/>
        <v>0</v>
      </c>
      <c r="CC20" s="162">
        <f t="shared" si="40"/>
        <v>0.4999999999999999</v>
      </c>
      <c r="CD20" s="162">
        <f t="shared" si="41"/>
        <v>0.5000000000000001</v>
      </c>
      <c r="CE20" s="162">
        <f t="shared" si="17"/>
        <v>1.5</v>
      </c>
      <c r="CF20" s="246">
        <f t="shared" si="18"/>
        <v>0.3333333333333334</v>
      </c>
      <c r="CG20" s="162">
        <f t="shared" si="42"/>
        <v>0.4999999999999999</v>
      </c>
      <c r="CH20" s="162">
        <f t="shared" si="43"/>
        <v>0.5000000000000001</v>
      </c>
      <c r="CI20" s="162">
        <f t="shared" si="44"/>
        <v>1.5</v>
      </c>
      <c r="CJ20" s="246">
        <f t="shared" si="45"/>
        <v>0.3333333333333334</v>
      </c>
    </row>
    <row r="21" spans="1:88" ht="15.75">
      <c r="A21" s="45" t="s">
        <v>61</v>
      </c>
      <c r="B21" s="42">
        <v>11</v>
      </c>
      <c r="C21" s="10">
        <f t="shared" si="19"/>
        <v>30</v>
      </c>
      <c r="D21" s="150">
        <f>'INPUT AND RESULTS'!D21</f>
        <v>28</v>
      </c>
      <c r="E21" s="150">
        <f>'INPUT AND RESULTS'!E21</f>
        <v>2</v>
      </c>
      <c r="F21" s="150">
        <f>'INPUT AND RESULTS'!F21</f>
        <v>21</v>
      </c>
      <c r="G21" s="9">
        <f t="shared" si="20"/>
        <v>2.300869565217391</v>
      </c>
      <c r="H21" s="9">
        <f t="shared" si="21"/>
        <v>0.8692365835222977</v>
      </c>
      <c r="I21" s="9">
        <f t="shared" si="22"/>
        <v>1.363990010960491</v>
      </c>
      <c r="J21" s="9">
        <f t="shared" si="23"/>
        <v>1.0903360161165199</v>
      </c>
      <c r="K21" s="150">
        <f>'INPUT AND RESULTS'!L21</f>
        <v>0</v>
      </c>
      <c r="L21" s="43">
        <f>'INPUT AND RESULTS'!M21</f>
        <v>200</v>
      </c>
      <c r="M21" s="151">
        <f>'INPUT AND RESULTS'!N21</f>
        <v>0</v>
      </c>
      <c r="N21" s="151">
        <f>'INPUT AND RESULTS'!O21</f>
        <v>1</v>
      </c>
      <c r="O21" s="150">
        <f>'INPUT AND RESULTS'!P21</f>
        <v>0</v>
      </c>
      <c r="P21" s="150">
        <f>'INPUT AND RESULTS'!Q21</f>
        <v>105</v>
      </c>
      <c r="Q21" s="150">
        <f>'INPUT AND RESULTS'!R21</f>
        <v>105</v>
      </c>
      <c r="R21" s="150">
        <f>'INPUT AND RESULTS'!S21</f>
        <v>30</v>
      </c>
      <c r="S21" s="150">
        <f>'INPUT AND RESULTS'!T21</f>
        <v>0</v>
      </c>
      <c r="T21" s="150">
        <f>'INPUT AND RESULTS'!U21</f>
        <v>105</v>
      </c>
      <c r="U21" s="150">
        <f>'INPUT AND RESULTS'!V21</f>
        <v>30</v>
      </c>
      <c r="V21" s="150">
        <f>'INPUT AND RESULTS'!W21</f>
        <v>0</v>
      </c>
      <c r="W21" s="150">
        <f>'INPUT AND RESULTS'!X21</f>
        <v>30</v>
      </c>
      <c r="X21" s="150">
        <f>'INPUT AND RESULTS'!Y21</f>
        <v>90</v>
      </c>
      <c r="Y21" s="150" t="s">
        <v>187</v>
      </c>
      <c r="Z21" s="150">
        <f>'INPUT AND RESULTS'!AA21</f>
        <v>250</v>
      </c>
      <c r="AA21" s="150">
        <f>'INPUT AND RESULTS'!AB21</f>
        <v>250</v>
      </c>
      <c r="AB21" s="47" t="s">
        <v>61</v>
      </c>
      <c r="AC21" s="49">
        <f t="shared" si="0"/>
        <v>0.5</v>
      </c>
      <c r="AF21" s="104"/>
      <c r="AG21" s="24">
        <f t="shared" si="24"/>
        <v>5801.411993560505</v>
      </c>
      <c r="AH21" s="26">
        <f>V21*BG21*'Load and Resistance Factors'!$E$11+0.5*(F21-2*BD21)*T21*BI21*'Load and Resistance Factors'!$E$11*AC21+T21*E21*BH21*'Load and Resistance Factors'!$E$11</f>
        <v>6325.488440909358</v>
      </c>
      <c r="AI21" s="24">
        <v>10</v>
      </c>
      <c r="AJ21" s="21" t="str">
        <f t="shared" si="25"/>
        <v>---</v>
      </c>
      <c r="AK21" s="24">
        <f>(P21*C21*F21*'Load and Resistance Factors'!$B$6)</f>
        <v>66150</v>
      </c>
      <c r="AL21" s="24" t="str">
        <f>IF(K21=0,"---",IF(L21&gt;=F21,(0.5*P21*(AJ21-C21)*F21*'Load and Resistance Factors'!$B$6),(0.5*P21*(L21*(TAN(RADIANS(K21)))*L21*'Load and Resistance Factors'!$B$6))))</f>
        <v>---</v>
      </c>
      <c r="AM21" s="24" t="str">
        <f>IF(K21=0,"---",IF(L21&gt;=F21,"---",(P21*(L21*(TAN(RADIANS(K21))))*(F21-L21)*'Load and Resistance Factors'!$B$6)))</f>
        <v>---</v>
      </c>
      <c r="AN21" s="24">
        <f>IF(K21=0,Z21*F21*'Load and Resistance Factors'!$D$6,IF(L21&gt;=F21,Z21*F21*'Load and Resistance Factors'!$D$6,AA21*(F21-L21)*'Load and Resistance Factors'!$D$6))</f>
        <v>9187.5</v>
      </c>
      <c r="AO21" s="21">
        <f t="shared" si="26"/>
        <v>0</v>
      </c>
      <c r="AP21" s="24">
        <f t="shared" si="27"/>
        <v>15750</v>
      </c>
      <c r="AQ21" s="24" t="str">
        <f>IF(K21=0,"---",IF(L21&gt;=F21,AP21*M21*'Load and Resistance Factors'!$C$6,AP21*CB21*'Load and Resistance Factors'!$C$6))</f>
        <v>---</v>
      </c>
      <c r="AR21" s="24" t="str">
        <f>IF(K21=0,"---",IF(L21&gt;=F21,AP21*N21*'Load and Resistance Factors'!$C$6,AP21*BZ21*'Load and Resistance Factors'!$C$6))</f>
        <v>---</v>
      </c>
      <c r="AS21" s="24">
        <f t="shared" si="28"/>
        <v>2500</v>
      </c>
      <c r="AT21" s="24" t="str">
        <f>IF(K21=0,"---",IF(L21&gt;=F21,AS21*M21*'Load and Resistance Factors'!$E$6,AS21*CB21*'Load and Resistance Factors'!$E$6))</f>
        <v>---</v>
      </c>
      <c r="AU21" s="24" t="str">
        <f>IF(K21=0,"---",IF(L21&gt;=F21,AS21*N21*'Load and Resistance Factors'!$E$6,AS21*BZ21*'Load and Resistance Factors'!$E$6))</f>
        <v>---</v>
      </c>
      <c r="AV21" s="24">
        <f>IF(K21=0,(AP21*'Load and Resistance Factors'!$C$6+AS21*'Load and Resistance Factors'!$E$6),AR21+AU21)</f>
        <v>28000</v>
      </c>
      <c r="AW21" s="34">
        <f>'Load and Resistance Factors'!$E$10*AX21*(TAN(RADIANS(W21)))</f>
        <v>38191.720306893745</v>
      </c>
      <c r="AX21" s="24">
        <f t="shared" si="1"/>
        <v>66150</v>
      </c>
      <c r="AY21" s="24">
        <f t="shared" si="2"/>
        <v>75337.5</v>
      </c>
      <c r="AZ21" s="24">
        <f t="shared" si="3"/>
        <v>694575</v>
      </c>
      <c r="BA21" s="24">
        <f>IF(K21=0,AZ21+(Z21*F21*(F21/2)*'Load and Resistance Factors'!$D$7),IF(L21&gt;=F21,AZ21+(AN21*(F21/2)),AZ21+(AN21*(L21+((F21-L21)/2)))))</f>
        <v>791043.75</v>
      </c>
      <c r="BB21" s="24">
        <f>IF(K21=0,(AP21*'Load and Resistance Factors'!$C$6*(C21/3))+(AS21*'Load and Resistance Factors'!$E$6*(C21/2)),IF(L21&gt;=F21,(AR21*(AJ21/3))+(AU21*(AJ21/2)),(AR21*(AJ21/3))+(AU21*(AJ21/2))))</f>
        <v>301875</v>
      </c>
      <c r="BC21" s="21">
        <f t="shared" si="4"/>
        <v>4.563492063492063</v>
      </c>
      <c r="BD21" s="21">
        <f t="shared" si="5"/>
        <v>4.006968641114983</v>
      </c>
      <c r="BE21" s="21">
        <f t="shared" si="6"/>
        <v>12.986062717770034</v>
      </c>
      <c r="BF21" s="21">
        <f t="shared" si="29"/>
        <v>5.25</v>
      </c>
      <c r="BG21" s="21">
        <f t="shared" si="30"/>
        <v>30.139627791519086</v>
      </c>
      <c r="BH21" s="21">
        <f t="shared" si="31"/>
        <v>18.401122218708668</v>
      </c>
      <c r="BI21" s="21">
        <f t="shared" si="32"/>
        <v>22.402486271104557</v>
      </c>
      <c r="BJ21" s="22">
        <f t="shared" si="33"/>
        <v>0</v>
      </c>
      <c r="BK21" s="23">
        <f t="shared" si="7"/>
        <v>0.3333333333333333</v>
      </c>
      <c r="BL21" s="1" t="str">
        <f t="shared" si="8"/>
        <v> ---</v>
      </c>
      <c r="BM21" s="25" t="str">
        <f t="shared" si="9"/>
        <v>  --</v>
      </c>
      <c r="BN21" s="21" t="str">
        <f t="shared" si="10"/>
        <v> ---</v>
      </c>
      <c r="BO21" s="27" t="str">
        <f t="shared" si="11"/>
        <v>---</v>
      </c>
      <c r="BP21" s="192">
        <f t="shared" si="12"/>
        <v>0.017453292519943295</v>
      </c>
      <c r="BQ21" s="192">
        <f t="shared" si="13"/>
        <v>0.5773502691896257</v>
      </c>
      <c r="BR21" s="192">
        <f t="shared" si="14"/>
        <v>0</v>
      </c>
      <c r="BS21" s="3" t="s">
        <v>1</v>
      </c>
      <c r="BT21" s="193">
        <f t="shared" si="46"/>
        <v>9</v>
      </c>
      <c r="BU21" s="243">
        <f t="shared" si="34"/>
        <v>0</v>
      </c>
      <c r="BV21" s="243">
        <f t="shared" si="15"/>
        <v>0</v>
      </c>
      <c r="BW21" s="244">
        <f t="shared" si="16"/>
        <v>1</v>
      </c>
      <c r="BX21" s="244">
        <f t="shared" si="35"/>
        <v>1</v>
      </c>
      <c r="BY21" s="245">
        <f t="shared" si="36"/>
        <v>0.7500000000000001</v>
      </c>
      <c r="BZ21" s="244">
        <f t="shared" si="37"/>
        <v>1</v>
      </c>
      <c r="CA21" s="244">
        <f t="shared" si="38"/>
        <v>1</v>
      </c>
      <c r="CB21" s="244">
        <f t="shared" si="39"/>
        <v>0</v>
      </c>
      <c r="CC21" s="162">
        <f t="shared" si="40"/>
        <v>0.4999999999999999</v>
      </c>
      <c r="CD21" s="162">
        <f t="shared" si="41"/>
        <v>0.5000000000000001</v>
      </c>
      <c r="CE21" s="162">
        <f t="shared" si="17"/>
        <v>1.5</v>
      </c>
      <c r="CF21" s="246">
        <f t="shared" si="18"/>
        <v>0.3333333333333334</v>
      </c>
      <c r="CG21" s="162">
        <f t="shared" si="42"/>
        <v>0.4999999999999999</v>
      </c>
      <c r="CH21" s="162">
        <f t="shared" si="43"/>
        <v>0.5000000000000001</v>
      </c>
      <c r="CI21" s="162">
        <f t="shared" si="44"/>
        <v>1.5</v>
      </c>
      <c r="CJ21" s="246">
        <f t="shared" si="45"/>
        <v>0.3333333333333334</v>
      </c>
    </row>
    <row r="22" spans="1:88" ht="15.75">
      <c r="A22" s="45" t="s">
        <v>61</v>
      </c>
      <c r="B22" s="42">
        <v>12</v>
      </c>
      <c r="C22" s="10">
        <f t="shared" si="19"/>
        <v>32</v>
      </c>
      <c r="D22" s="150">
        <f>'INPUT AND RESULTS'!D22</f>
        <v>30</v>
      </c>
      <c r="E22" s="150">
        <f>'INPUT AND RESULTS'!E22</f>
        <v>2</v>
      </c>
      <c r="F22" s="150">
        <f>'INPUT AND RESULTS'!F22</f>
        <v>23</v>
      </c>
      <c r="G22" s="9">
        <f t="shared" si="20"/>
        <v>2.4591942148760335</v>
      </c>
      <c r="H22" s="9">
        <f t="shared" si="21"/>
        <v>0.8132745221592101</v>
      </c>
      <c r="I22" s="9">
        <f t="shared" si="22"/>
        <v>1.4143373458254738</v>
      </c>
      <c r="J22" s="9">
        <f t="shared" si="23"/>
        <v>1.1612076813578582</v>
      </c>
      <c r="K22" s="150">
        <f>'INPUT AND RESULTS'!L22</f>
        <v>0</v>
      </c>
      <c r="L22" s="43">
        <f>'INPUT AND RESULTS'!M22</f>
        <v>200</v>
      </c>
      <c r="M22" s="151">
        <f>'INPUT AND RESULTS'!N22</f>
        <v>0</v>
      </c>
      <c r="N22" s="151">
        <f>'INPUT AND RESULTS'!O22</f>
        <v>1</v>
      </c>
      <c r="O22" s="150">
        <f>'INPUT AND RESULTS'!P22</f>
        <v>0</v>
      </c>
      <c r="P22" s="150">
        <f>'INPUT AND RESULTS'!Q22</f>
        <v>105</v>
      </c>
      <c r="Q22" s="150">
        <f>'INPUT AND RESULTS'!R22</f>
        <v>105</v>
      </c>
      <c r="R22" s="150">
        <f>'INPUT AND RESULTS'!S22</f>
        <v>30</v>
      </c>
      <c r="S22" s="150">
        <f>'INPUT AND RESULTS'!T22</f>
        <v>0</v>
      </c>
      <c r="T22" s="150">
        <f>'INPUT AND RESULTS'!U22</f>
        <v>105</v>
      </c>
      <c r="U22" s="150">
        <f>'INPUT AND RESULTS'!V22</f>
        <v>30</v>
      </c>
      <c r="V22" s="150">
        <f>'INPUT AND RESULTS'!W22</f>
        <v>0</v>
      </c>
      <c r="W22" s="150">
        <f>'INPUT AND RESULTS'!X22</f>
        <v>30</v>
      </c>
      <c r="X22" s="150">
        <f>'INPUT AND RESULTS'!Y22</f>
        <v>90</v>
      </c>
      <c r="Y22" s="150" t="s">
        <v>187</v>
      </c>
      <c r="Z22" s="150">
        <f>'INPUT AND RESULTS'!AA22</f>
        <v>250</v>
      </c>
      <c r="AA22" s="150">
        <f>'INPUT AND RESULTS'!AB22</f>
        <v>250</v>
      </c>
      <c r="AB22" s="47" t="s">
        <v>61</v>
      </c>
      <c r="AC22" s="49">
        <f t="shared" si="0"/>
        <v>0.5</v>
      </c>
      <c r="AF22" s="104"/>
      <c r="AG22" s="24">
        <f t="shared" si="24"/>
        <v>5931.644188683524</v>
      </c>
      <c r="AH22" s="26">
        <f>V22*BG22*'Load and Resistance Factors'!$E$11+0.5*(F22-2*BD22)*T22*BI22*'Load and Resistance Factors'!$E$11*AC22+T22*E22*BH22*'Load and Resistance Factors'!$E$11</f>
        <v>6887.870794981009</v>
      </c>
      <c r="AI22" s="24">
        <v>11</v>
      </c>
      <c r="AJ22" s="21" t="str">
        <f t="shared" si="25"/>
        <v>---</v>
      </c>
      <c r="AK22" s="24">
        <f>(P22*C22*F22*'Load and Resistance Factors'!$B$6)</f>
        <v>77280</v>
      </c>
      <c r="AL22" s="24" t="str">
        <f>IF(K22=0,"---",IF(L22&gt;=F22,(0.5*P22*(AJ22-C22)*F22*'Load and Resistance Factors'!$B$6),(0.5*P22*(L22*(TAN(RADIANS(K22)))*L22*'Load and Resistance Factors'!$B$6))))</f>
        <v>---</v>
      </c>
      <c r="AM22" s="24" t="str">
        <f>IF(K22=0,"---",IF(L22&gt;=F22,"---",(P22*(L22*(TAN(RADIANS(K22))))*(F22-L22)*'Load and Resistance Factors'!$B$6)))</f>
        <v>---</v>
      </c>
      <c r="AN22" s="24">
        <f>IF(K22=0,Z22*F22*'Load and Resistance Factors'!$D$6,IF(L22&gt;=F22,Z22*F22*'Load and Resistance Factors'!$D$6,AA22*(F22-L22)*'Load and Resistance Factors'!$D$6))</f>
        <v>10062.5</v>
      </c>
      <c r="AO22" s="21">
        <f t="shared" si="26"/>
        <v>0</v>
      </c>
      <c r="AP22" s="24">
        <f t="shared" si="27"/>
        <v>17920</v>
      </c>
      <c r="AQ22" s="24" t="str">
        <f>IF(K22=0,"---",IF(L22&gt;=F22,AP22*M22*'Load and Resistance Factors'!$C$6,AP22*CB22*'Load and Resistance Factors'!$C$6))</f>
        <v>---</v>
      </c>
      <c r="AR22" s="24" t="str">
        <f>IF(K22=0,"---",IF(L22&gt;=F22,AP22*N22*'Load and Resistance Factors'!$C$6,AP22*BZ22*'Load and Resistance Factors'!$C$6))</f>
        <v>---</v>
      </c>
      <c r="AS22" s="24">
        <f t="shared" si="28"/>
        <v>2666.6666666666665</v>
      </c>
      <c r="AT22" s="24" t="str">
        <f>IF(K22=0,"---",IF(L22&gt;=F22,AS22*M22*'Load and Resistance Factors'!$E$6,AS22*CB22*'Load and Resistance Factors'!$E$6))</f>
        <v>---</v>
      </c>
      <c r="AU22" s="24" t="str">
        <f>IF(K22=0,"---",IF(L22&gt;=F22,AS22*N22*'Load and Resistance Factors'!$E$6,AS22*BZ22*'Load and Resistance Factors'!$E$6))</f>
        <v>---</v>
      </c>
      <c r="AV22" s="24">
        <f>IF(K22=0,(AP22*'Load and Resistance Factors'!$C$6+AS22*'Load and Resistance Factors'!$E$6),AR22+AU22)</f>
        <v>31546.666666666664</v>
      </c>
      <c r="AW22" s="34">
        <f>'Load and Resistance Factors'!$E$10*AX22*(TAN(RADIANS(W22)))</f>
        <v>44617.62880297428</v>
      </c>
      <c r="AX22" s="24">
        <f t="shared" si="1"/>
        <v>77280</v>
      </c>
      <c r="AY22" s="24">
        <f t="shared" si="2"/>
        <v>87342.5</v>
      </c>
      <c r="AZ22" s="24">
        <f t="shared" si="3"/>
        <v>888720</v>
      </c>
      <c r="BA22" s="24">
        <f>IF(K22=0,AZ22+(Z22*F22*(F22/2)*'Load and Resistance Factors'!$D$7),IF(L22&gt;=F22,AZ22+(AN22*(F22/2)),AZ22+(AN22*(L22+((F22-L22)/2)))))</f>
        <v>1004438.75</v>
      </c>
      <c r="BB22" s="24">
        <f>IF(K22=0,(AP22*'Load and Resistance Factors'!$C$6*(C22/3))+(AS22*'Load and Resistance Factors'!$E$6*(C22/2)),IF(L22&gt;=F22,(AR22*(AJ22/3))+(AU22*(AJ22/2)),(AR22*(AJ22/3))+(AU22*(AJ22/2))))</f>
        <v>361386.6666666666</v>
      </c>
      <c r="BC22" s="21">
        <f t="shared" si="4"/>
        <v>4.676328502415458</v>
      </c>
      <c r="BD22" s="21">
        <f t="shared" si="5"/>
        <v>4.137580979095705</v>
      </c>
      <c r="BE22" s="21">
        <f t="shared" si="6"/>
        <v>14.72483804180859</v>
      </c>
      <c r="BF22" s="21">
        <f t="shared" si="29"/>
        <v>5.75</v>
      </c>
      <c r="BG22" s="21">
        <f t="shared" si="30"/>
        <v>30.139627791519086</v>
      </c>
      <c r="BH22" s="21">
        <f t="shared" si="31"/>
        <v>18.401122218708668</v>
      </c>
      <c r="BI22" s="21">
        <f t="shared" si="32"/>
        <v>22.402486271104557</v>
      </c>
      <c r="BJ22" s="22">
        <f t="shared" si="33"/>
        <v>0</v>
      </c>
      <c r="BK22" s="23">
        <f t="shared" si="7"/>
        <v>0.3333333333333333</v>
      </c>
      <c r="BL22" s="4" t="str">
        <f t="shared" si="8"/>
        <v> ---</v>
      </c>
      <c r="BM22" s="25" t="str">
        <f t="shared" si="9"/>
        <v>  --</v>
      </c>
      <c r="BN22" s="21" t="str">
        <f t="shared" si="10"/>
        <v> ---</v>
      </c>
      <c r="BO22" s="27" t="str">
        <f t="shared" si="11"/>
        <v>---</v>
      </c>
      <c r="BP22" s="235">
        <f t="shared" si="12"/>
        <v>0.017453292519943295</v>
      </c>
      <c r="BQ22" s="235">
        <f t="shared" si="13"/>
        <v>0.5773502691896257</v>
      </c>
      <c r="BR22" s="235">
        <f t="shared" si="14"/>
        <v>0</v>
      </c>
      <c r="BS22" s="204" t="s">
        <v>1</v>
      </c>
      <c r="BT22" s="193">
        <f t="shared" si="46"/>
        <v>10</v>
      </c>
      <c r="BU22" s="243">
        <f t="shared" si="34"/>
        <v>0</v>
      </c>
      <c r="BV22" s="243">
        <f t="shared" si="15"/>
        <v>0</v>
      </c>
      <c r="BW22" s="244">
        <f t="shared" si="16"/>
        <v>1</v>
      </c>
      <c r="BX22" s="244">
        <f t="shared" si="35"/>
        <v>1</v>
      </c>
      <c r="BY22" s="245">
        <f t="shared" si="36"/>
        <v>0.7500000000000001</v>
      </c>
      <c r="BZ22" s="244">
        <f t="shared" si="37"/>
        <v>1</v>
      </c>
      <c r="CA22" s="244">
        <f t="shared" si="38"/>
        <v>1</v>
      </c>
      <c r="CB22" s="244">
        <f t="shared" si="39"/>
        <v>0</v>
      </c>
      <c r="CC22" s="162">
        <f t="shared" si="40"/>
        <v>0.4999999999999999</v>
      </c>
      <c r="CD22" s="162">
        <f t="shared" si="41"/>
        <v>0.5000000000000001</v>
      </c>
      <c r="CE22" s="162">
        <f t="shared" si="17"/>
        <v>1.5</v>
      </c>
      <c r="CF22" s="246">
        <f t="shared" si="18"/>
        <v>0.3333333333333334</v>
      </c>
      <c r="CG22" s="162">
        <f t="shared" si="42"/>
        <v>0.4999999999999999</v>
      </c>
      <c r="CH22" s="162">
        <f t="shared" si="43"/>
        <v>0.5000000000000001</v>
      </c>
      <c r="CI22" s="162">
        <f t="shared" si="44"/>
        <v>1.5</v>
      </c>
      <c r="CJ22" s="246">
        <f t="shared" si="45"/>
        <v>0.3333333333333334</v>
      </c>
    </row>
    <row r="23" spans="1:88" ht="15.75">
      <c r="A23" s="45" t="s">
        <v>61</v>
      </c>
      <c r="B23" s="42">
        <v>13</v>
      </c>
      <c r="C23" s="10">
        <f t="shared" si="19"/>
        <v>34</v>
      </c>
      <c r="D23" s="150">
        <f>'INPUT AND RESULTS'!D23</f>
        <v>32</v>
      </c>
      <c r="E23" s="150">
        <f>'INPUT AND RESULTS'!E23</f>
        <v>2</v>
      </c>
      <c r="F23" s="150">
        <f>'INPUT AND RESULTS'!F23</f>
        <v>24</v>
      </c>
      <c r="G23" s="9">
        <f t="shared" si="20"/>
        <v>2.4011116257526637</v>
      </c>
      <c r="H23" s="9">
        <f t="shared" si="21"/>
        <v>0.8329475308641975</v>
      </c>
      <c r="I23" s="9">
        <f t="shared" si="22"/>
        <v>1.4012096420781928</v>
      </c>
      <c r="J23" s="9">
        <f t="shared" si="23"/>
        <v>1.0999113608882307</v>
      </c>
      <c r="K23" s="150">
        <f>'INPUT AND RESULTS'!L23</f>
        <v>0</v>
      </c>
      <c r="L23" s="43">
        <f>'INPUT AND RESULTS'!M23</f>
        <v>200</v>
      </c>
      <c r="M23" s="151">
        <f>'INPUT AND RESULTS'!N23</f>
        <v>0</v>
      </c>
      <c r="N23" s="151">
        <f>'INPUT AND RESULTS'!O23</f>
        <v>1</v>
      </c>
      <c r="O23" s="150">
        <f>'INPUT AND RESULTS'!P23</f>
        <v>0</v>
      </c>
      <c r="P23" s="150">
        <f>'INPUT AND RESULTS'!Q23</f>
        <v>105</v>
      </c>
      <c r="Q23" s="150">
        <f>'INPUT AND RESULTS'!R23</f>
        <v>105</v>
      </c>
      <c r="R23" s="150">
        <f>'INPUT AND RESULTS'!S23</f>
        <v>30</v>
      </c>
      <c r="S23" s="150">
        <f>'INPUT AND RESULTS'!T23</f>
        <v>0</v>
      </c>
      <c r="T23" s="150">
        <f>'INPUT AND RESULTS'!U23</f>
        <v>105</v>
      </c>
      <c r="U23" s="150">
        <f>'INPUT AND RESULTS'!V23</f>
        <v>30</v>
      </c>
      <c r="V23" s="150">
        <f>'INPUT AND RESULTS'!W23</f>
        <v>0</v>
      </c>
      <c r="W23" s="150">
        <f>'INPUT AND RESULTS'!X23</f>
        <v>30</v>
      </c>
      <c r="X23" s="150">
        <f>'INPUT AND RESULTS'!Y23</f>
        <v>90</v>
      </c>
      <c r="Y23" s="150" t="s">
        <v>187</v>
      </c>
      <c r="Z23" s="150">
        <f>'INPUT AND RESULTS'!AA23</f>
        <v>250</v>
      </c>
      <c r="AA23" s="150">
        <f>'INPUT AND RESULTS'!AB23</f>
        <v>250</v>
      </c>
      <c r="AB23" s="47" t="s">
        <v>61</v>
      </c>
      <c r="AC23" s="49">
        <f t="shared" si="0"/>
        <v>0.5</v>
      </c>
      <c r="AF23" s="104"/>
      <c r="AG23" s="24">
        <f t="shared" si="24"/>
        <v>6371.297067095218</v>
      </c>
      <c r="AH23" s="26">
        <f>V23*BG23*'Load and Resistance Factors'!$E$11+0.5*(F23-2*BD23)*T23*BI23*'Load and Resistance Factors'!$E$11*AC23+T23*E23*BH23*'Load and Resistance Factors'!$E$11</f>
        <v>7007.862027691895</v>
      </c>
      <c r="AI23" s="24">
        <v>12</v>
      </c>
      <c r="AJ23" s="21" t="str">
        <f t="shared" si="25"/>
        <v>---</v>
      </c>
      <c r="AK23" s="24">
        <f>(P23*C23*F23*'Load and Resistance Factors'!$B$6)</f>
        <v>85680</v>
      </c>
      <c r="AL23" s="24" t="str">
        <f>IF(K23=0,"---",IF(L23&gt;=F23,(0.5*P23*(AJ23-C23)*F23*'Load and Resistance Factors'!$B$6),(0.5*P23*(L23*(TAN(RADIANS(K23)))*L23*'Load and Resistance Factors'!$B$6))))</f>
        <v>---</v>
      </c>
      <c r="AM23" s="24" t="str">
        <f>IF(K23=0,"---",IF(L23&gt;=F23,"---",(P23*(L23*(TAN(RADIANS(K23))))*(F23-L23)*'Load and Resistance Factors'!$B$6)))</f>
        <v>---</v>
      </c>
      <c r="AN23" s="24">
        <f>IF(K23=0,Z23*F23*'Load and Resistance Factors'!$D$6,IF(L23&gt;=F23,Z23*F23*'Load and Resistance Factors'!$D$6,AA23*(F23-L23)*'Load and Resistance Factors'!$D$6))</f>
        <v>10500</v>
      </c>
      <c r="AO23" s="21">
        <f t="shared" si="26"/>
        <v>0</v>
      </c>
      <c r="AP23" s="24">
        <f t="shared" si="27"/>
        <v>20230</v>
      </c>
      <c r="AQ23" s="24" t="str">
        <f>IF(K23=0,"---",IF(L23&gt;=F23,AP23*M23*'Load and Resistance Factors'!$C$6,AP23*CB23*'Load and Resistance Factors'!$C$6))</f>
        <v>---</v>
      </c>
      <c r="AR23" s="24" t="str">
        <f>IF(K23=0,"---",IF(L23&gt;=F23,AP23*N23*'Load and Resistance Factors'!$C$6,AP23*BZ23*'Load and Resistance Factors'!$C$6))</f>
        <v>---</v>
      </c>
      <c r="AS23" s="24">
        <f t="shared" si="28"/>
        <v>2833.333333333333</v>
      </c>
      <c r="AT23" s="24" t="str">
        <f>IF(K23=0,"---",IF(L23&gt;=F23,AS23*M23*'Load and Resistance Factors'!$E$6,AS23*CB23*'Load and Resistance Factors'!$E$6))</f>
        <v>---</v>
      </c>
      <c r="AU23" s="24" t="str">
        <f>IF(K23=0,"---",IF(L23&gt;=F23,AS23*N23*'Load and Resistance Factors'!$E$6,AS23*BZ23*'Load and Resistance Factors'!$E$6))</f>
        <v>---</v>
      </c>
      <c r="AV23" s="24">
        <f>IF(K23=0,(AP23*'Load and Resistance Factors'!$C$6+AS23*'Load and Resistance Factors'!$E$6),AR23+AU23)</f>
        <v>35303.333333333336</v>
      </c>
      <c r="AW23" s="34">
        <f>'Load and Resistance Factors'!$E$10*AX23*(TAN(RADIANS(W23)))</f>
        <v>49467.371064167135</v>
      </c>
      <c r="AX23" s="24">
        <f t="shared" si="1"/>
        <v>85680</v>
      </c>
      <c r="AY23" s="24">
        <f t="shared" si="2"/>
        <v>96180</v>
      </c>
      <c r="AZ23" s="24">
        <f t="shared" si="3"/>
        <v>1028160</v>
      </c>
      <c r="BA23" s="24">
        <f>IF(K23=0,AZ23+(Z23*F23*(F23/2)*'Load and Resistance Factors'!$D$7),IF(L23&gt;=F23,AZ23+(AN23*(F23/2)),AZ23+(AN23*(L23+((F23-L23)/2)))))</f>
        <v>1154160</v>
      </c>
      <c r="BB23" s="24">
        <f>IF(K23=0,(AP23*'Load and Resistance Factors'!$C$6*(C23/3))+(AS23*'Load and Resistance Factors'!$E$6*(C23/2)),IF(L23&gt;=F23,(AR23*(AJ23/3))+(AU23*(AJ23/2)),(AR23*(AJ23/3))+(AU23*(AJ23/2))))</f>
        <v>428201.6666666666</v>
      </c>
      <c r="BC23" s="21">
        <f t="shared" si="4"/>
        <v>4.997685185185185</v>
      </c>
      <c r="BD23" s="21">
        <f t="shared" si="5"/>
        <v>4.452086365841824</v>
      </c>
      <c r="BE23" s="21">
        <f t="shared" si="6"/>
        <v>15.095827268316352</v>
      </c>
      <c r="BF23" s="21">
        <f t="shared" si="29"/>
        <v>6</v>
      </c>
      <c r="BG23" s="21">
        <f t="shared" si="30"/>
        <v>30.139627791519086</v>
      </c>
      <c r="BH23" s="21">
        <f t="shared" si="31"/>
        <v>18.401122218708668</v>
      </c>
      <c r="BI23" s="21">
        <f t="shared" si="32"/>
        <v>22.402486271104557</v>
      </c>
      <c r="BJ23" s="22">
        <f t="shared" si="33"/>
        <v>0</v>
      </c>
      <c r="BK23" s="23">
        <f t="shared" si="7"/>
        <v>0.3333333333333333</v>
      </c>
      <c r="BL23" s="1" t="str">
        <f t="shared" si="8"/>
        <v> ---</v>
      </c>
      <c r="BM23" s="25" t="str">
        <f t="shared" si="9"/>
        <v>  --</v>
      </c>
      <c r="BN23" s="21" t="str">
        <f t="shared" si="10"/>
        <v> ---</v>
      </c>
      <c r="BO23" s="27" t="str">
        <f t="shared" si="11"/>
        <v>---</v>
      </c>
      <c r="BP23" s="192">
        <f t="shared" si="12"/>
        <v>0.017453292519943295</v>
      </c>
      <c r="BQ23" s="192">
        <f t="shared" si="13"/>
        <v>0.5773502691896257</v>
      </c>
      <c r="BR23" s="192">
        <f t="shared" si="14"/>
        <v>0</v>
      </c>
      <c r="BS23" s="3" t="s">
        <v>1</v>
      </c>
      <c r="BT23" s="193">
        <f t="shared" si="46"/>
        <v>11</v>
      </c>
      <c r="BU23" s="243">
        <f t="shared" si="34"/>
        <v>0</v>
      </c>
      <c r="BV23" s="243">
        <f t="shared" si="15"/>
        <v>0</v>
      </c>
      <c r="BW23" s="244">
        <f t="shared" si="16"/>
        <v>1</v>
      </c>
      <c r="BX23" s="244">
        <f t="shared" si="35"/>
        <v>1</v>
      </c>
      <c r="BY23" s="245">
        <f t="shared" si="36"/>
        <v>0.7500000000000001</v>
      </c>
      <c r="BZ23" s="244">
        <f t="shared" si="37"/>
        <v>1</v>
      </c>
      <c r="CA23" s="244">
        <f t="shared" si="38"/>
        <v>1</v>
      </c>
      <c r="CB23" s="244">
        <f t="shared" si="39"/>
        <v>0</v>
      </c>
      <c r="CC23" s="162">
        <f t="shared" si="40"/>
        <v>0.4999999999999999</v>
      </c>
      <c r="CD23" s="162">
        <f t="shared" si="41"/>
        <v>0.5000000000000001</v>
      </c>
      <c r="CE23" s="162">
        <f t="shared" si="17"/>
        <v>1.5</v>
      </c>
      <c r="CF23" s="246">
        <f t="shared" si="18"/>
        <v>0.3333333333333334</v>
      </c>
      <c r="CG23" s="162">
        <f t="shared" si="42"/>
        <v>0.4999999999999999</v>
      </c>
      <c r="CH23" s="162">
        <f t="shared" si="43"/>
        <v>0.5000000000000001</v>
      </c>
      <c r="CI23" s="162">
        <f t="shared" si="44"/>
        <v>1.5</v>
      </c>
      <c r="CJ23" s="246">
        <f t="shared" si="45"/>
        <v>0.3333333333333334</v>
      </c>
    </row>
    <row r="24" spans="1:88" ht="15.75">
      <c r="A24" s="45" t="s">
        <v>61</v>
      </c>
      <c r="B24" s="42">
        <v>14</v>
      </c>
      <c r="C24" s="10">
        <f t="shared" si="19"/>
        <v>36</v>
      </c>
      <c r="D24" s="150">
        <f>'INPUT AND RESULTS'!D24</f>
        <v>34</v>
      </c>
      <c r="E24" s="150">
        <f>'INPUT AND RESULTS'!E24</f>
        <v>2</v>
      </c>
      <c r="F24" s="150">
        <f>'INPUT AND RESULTS'!F24</f>
        <v>26</v>
      </c>
      <c r="G24" s="9">
        <f t="shared" si="20"/>
        <v>2.5413533834586466</v>
      </c>
      <c r="H24" s="9">
        <f t="shared" si="21"/>
        <v>0.78698224852071</v>
      </c>
      <c r="I24" s="9">
        <f t="shared" si="22"/>
        <v>1.4449193902713628</v>
      </c>
      <c r="J24" s="9">
        <f t="shared" si="23"/>
        <v>1.1617240063566014</v>
      </c>
      <c r="K24" s="150">
        <f>'INPUT AND RESULTS'!L24</f>
        <v>0</v>
      </c>
      <c r="L24" s="43">
        <f>'INPUT AND RESULTS'!M24</f>
        <v>200</v>
      </c>
      <c r="M24" s="151">
        <f>'INPUT AND RESULTS'!N24</f>
        <v>0</v>
      </c>
      <c r="N24" s="151">
        <f>'INPUT AND RESULTS'!O24</f>
        <v>1</v>
      </c>
      <c r="O24" s="150">
        <f>'INPUT AND RESULTS'!P24</f>
        <v>0</v>
      </c>
      <c r="P24" s="150">
        <f>'INPUT AND RESULTS'!Q24</f>
        <v>105</v>
      </c>
      <c r="Q24" s="150">
        <f>'INPUT AND RESULTS'!R24</f>
        <v>105</v>
      </c>
      <c r="R24" s="150">
        <f>'INPUT AND RESULTS'!S24</f>
        <v>30</v>
      </c>
      <c r="S24" s="150">
        <f>'INPUT AND RESULTS'!T24</f>
        <v>0</v>
      </c>
      <c r="T24" s="150">
        <f>'INPUT AND RESULTS'!U24</f>
        <v>105</v>
      </c>
      <c r="U24" s="150">
        <f>'INPUT AND RESULTS'!V24</f>
        <v>30</v>
      </c>
      <c r="V24" s="150">
        <f>'INPUT AND RESULTS'!W24</f>
        <v>0</v>
      </c>
      <c r="W24" s="150">
        <f>'INPUT AND RESULTS'!X24</f>
        <v>30</v>
      </c>
      <c r="X24" s="150">
        <f>'INPUT AND RESULTS'!Y24</f>
        <v>90</v>
      </c>
      <c r="Y24" s="150" t="s">
        <v>187</v>
      </c>
      <c r="Z24" s="150">
        <f>'INPUT AND RESULTS'!AA24</f>
        <v>250</v>
      </c>
      <c r="AA24" s="150">
        <f>'INPUT AND RESULTS'!AB24</f>
        <v>250</v>
      </c>
      <c r="AB24" s="47" t="s">
        <v>61</v>
      </c>
      <c r="AC24" s="49">
        <f t="shared" si="0"/>
        <v>0.5</v>
      </c>
      <c r="AE24" s="149"/>
      <c r="AF24" s="82"/>
      <c r="AG24" s="24">
        <f t="shared" si="24"/>
        <v>6515.249668120614</v>
      </c>
      <c r="AH24" s="26">
        <f>V24*BG24*'Load and Resistance Factors'!$E$11+0.5*(F24-2*BD24)*T24*BI24*'Load and Resistance Factors'!$E$11*AC24+T24*E24*BH24*'Load and Resistance Factors'!$E$11</f>
        <v>7568.921946862598</v>
      </c>
      <c r="AI24" s="24">
        <v>13</v>
      </c>
      <c r="AJ24" s="21" t="str">
        <f t="shared" si="25"/>
        <v>---</v>
      </c>
      <c r="AK24" s="24">
        <f>(P24*C24*F24*'Load and Resistance Factors'!$B$6)</f>
        <v>98280</v>
      </c>
      <c r="AL24" s="24" t="str">
        <f>IF(K24=0,"---",IF(L24&gt;=F24,(0.5*P24*(AJ24-C24)*F24*'Load and Resistance Factors'!$B$6),(0.5*P24*(L24*(TAN(RADIANS(K24)))*L24*'Load and Resistance Factors'!$B$6))))</f>
        <v>---</v>
      </c>
      <c r="AM24" s="24" t="str">
        <f>IF(K24=0,"---",IF(L24&gt;=F24,"---",(P24*(L24*(TAN(RADIANS(K24))))*(F24-L24)*'Load and Resistance Factors'!$B$6)))</f>
        <v>---</v>
      </c>
      <c r="AN24" s="24">
        <f>IF(K24=0,Z24*F24*'Load and Resistance Factors'!$D$6,IF(L24&gt;=F24,Z24*F24*'Load and Resistance Factors'!$D$6,AA24*(F24-L24)*'Load and Resistance Factors'!$D$6))</f>
        <v>11375</v>
      </c>
      <c r="AO24" s="21">
        <f t="shared" si="26"/>
        <v>0</v>
      </c>
      <c r="AP24" s="24">
        <f t="shared" si="27"/>
        <v>22680</v>
      </c>
      <c r="AQ24" s="24" t="str">
        <f>IF(K24=0,"---",IF(L24&gt;=F24,AP24*M24*'Load and Resistance Factors'!$C$6,AP24*CB24*'Load and Resistance Factors'!$C$6))</f>
        <v>---</v>
      </c>
      <c r="AR24" s="24" t="str">
        <f>IF(K24=0,"---",IF(L24&gt;=F24,AP24*N24*'Load and Resistance Factors'!$C$6,AP24*BZ24*'Load and Resistance Factors'!$C$6))</f>
        <v>---</v>
      </c>
      <c r="AS24" s="24">
        <f t="shared" si="28"/>
        <v>3000</v>
      </c>
      <c r="AT24" s="24" t="str">
        <f>IF(K24=0,"---",IF(L24&gt;=F24,AS24*M24*'Load and Resistance Factors'!$E$6,AS24*CB24*'Load and Resistance Factors'!$E$6))</f>
        <v>---</v>
      </c>
      <c r="AU24" s="24" t="str">
        <f>IF(K24=0,"---",IF(L24&gt;=F24,AS24*N24*'Load and Resistance Factors'!$E$6,AS24*BZ24*'Load and Resistance Factors'!$E$6))</f>
        <v>---</v>
      </c>
      <c r="AV24" s="24">
        <f>IF(K24=0,(AP24*'Load and Resistance Factors'!$C$6+AS24*'Load and Resistance Factors'!$E$6),AR24+AU24)</f>
        <v>39270</v>
      </c>
      <c r="AW24" s="34">
        <f>'Load and Resistance Factors'!$E$10*AX24*(TAN(RADIANS(W24)))</f>
        <v>56741.984455956415</v>
      </c>
      <c r="AX24" s="24">
        <f t="shared" si="1"/>
        <v>98280</v>
      </c>
      <c r="AY24" s="24">
        <f t="shared" si="2"/>
        <v>109655</v>
      </c>
      <c r="AZ24" s="24">
        <f t="shared" si="3"/>
        <v>1277640</v>
      </c>
      <c r="BA24" s="24">
        <f>IF(K24=0,AZ24+(Z24*F24*(F24/2)*'Load and Resistance Factors'!$D$7),IF(L24&gt;=F24,AZ24+(AN24*(F24/2)),AZ24+(AN24*(L24+((F24-L24)/2)))))</f>
        <v>1425515</v>
      </c>
      <c r="BB24" s="24">
        <f>IF(K24=0,(AP24*'Load and Resistance Factors'!$C$6*(C24/3))+(AS24*'Load and Resistance Factors'!$E$6*(C24/2)),IF(L24&gt;=F24,(AR24*(AJ24/3))+(AU24*(AJ24/2)),(AR24*(AJ24/3))+(AU24*(AJ24/2))))</f>
        <v>502740</v>
      </c>
      <c r="BC24" s="21">
        <f t="shared" si="4"/>
        <v>5.115384615384615</v>
      </c>
      <c r="BD24" s="21">
        <f t="shared" si="5"/>
        <v>4.584743057772103</v>
      </c>
      <c r="BE24" s="21">
        <f t="shared" si="6"/>
        <v>16.830513884455794</v>
      </c>
      <c r="BF24" s="21">
        <f t="shared" si="29"/>
        <v>6.5</v>
      </c>
      <c r="BG24" s="21">
        <f t="shared" si="30"/>
        <v>30.139627791519086</v>
      </c>
      <c r="BH24" s="21">
        <f t="shared" si="31"/>
        <v>18.401122218708668</v>
      </c>
      <c r="BI24" s="21">
        <f t="shared" si="32"/>
        <v>22.402486271104557</v>
      </c>
      <c r="BJ24" s="22">
        <f t="shared" si="33"/>
        <v>0</v>
      </c>
      <c r="BK24" s="23">
        <f t="shared" si="7"/>
        <v>0.3333333333333333</v>
      </c>
      <c r="BL24" s="4" t="str">
        <f t="shared" si="8"/>
        <v> ---</v>
      </c>
      <c r="BM24" s="25" t="str">
        <f t="shared" si="9"/>
        <v>  --</v>
      </c>
      <c r="BN24" s="21" t="str">
        <f t="shared" si="10"/>
        <v> ---</v>
      </c>
      <c r="BO24" s="27" t="str">
        <f t="shared" si="11"/>
        <v>---</v>
      </c>
      <c r="BP24" s="235">
        <f t="shared" si="12"/>
        <v>0.017453292519943295</v>
      </c>
      <c r="BQ24" s="235">
        <f t="shared" si="13"/>
        <v>0.5773502691896257</v>
      </c>
      <c r="BR24" s="235">
        <f t="shared" si="14"/>
        <v>0</v>
      </c>
      <c r="BS24" s="204" t="s">
        <v>1</v>
      </c>
      <c r="BT24" s="193">
        <f t="shared" si="46"/>
        <v>12</v>
      </c>
      <c r="BU24" s="243">
        <f t="shared" si="34"/>
        <v>0</v>
      </c>
      <c r="BV24" s="243">
        <f t="shared" si="15"/>
        <v>0</v>
      </c>
      <c r="BW24" s="244">
        <f t="shared" si="16"/>
        <v>1</v>
      </c>
      <c r="BX24" s="244">
        <f t="shared" si="35"/>
        <v>1</v>
      </c>
      <c r="BY24" s="245">
        <f t="shared" si="36"/>
        <v>0.7500000000000001</v>
      </c>
      <c r="BZ24" s="244">
        <f t="shared" si="37"/>
        <v>1</v>
      </c>
      <c r="CA24" s="244">
        <f t="shared" si="38"/>
        <v>1</v>
      </c>
      <c r="CB24" s="244">
        <f t="shared" si="39"/>
        <v>0</v>
      </c>
      <c r="CC24" s="162">
        <f t="shared" si="40"/>
        <v>0.4999999999999999</v>
      </c>
      <c r="CD24" s="162">
        <f t="shared" si="41"/>
        <v>0.5000000000000001</v>
      </c>
      <c r="CE24" s="162">
        <f t="shared" si="17"/>
        <v>1.5</v>
      </c>
      <c r="CF24" s="246">
        <f t="shared" si="18"/>
        <v>0.3333333333333334</v>
      </c>
      <c r="CG24" s="162">
        <f t="shared" si="42"/>
        <v>0.4999999999999999</v>
      </c>
      <c r="CH24" s="162">
        <f t="shared" si="43"/>
        <v>0.5000000000000001</v>
      </c>
      <c r="CI24" s="162">
        <f t="shared" si="44"/>
        <v>1.5</v>
      </c>
      <c r="CJ24" s="246">
        <f t="shared" si="45"/>
        <v>0.3333333333333334</v>
      </c>
    </row>
    <row r="25" spans="1:88" ht="15.75">
      <c r="A25" s="45" t="s">
        <v>61</v>
      </c>
      <c r="B25" s="42">
        <v>15</v>
      </c>
      <c r="C25" s="10">
        <f t="shared" si="19"/>
        <v>38</v>
      </c>
      <c r="D25" s="150">
        <f>'INPUT AND RESULTS'!D25</f>
        <v>36</v>
      </c>
      <c r="E25" s="150">
        <f>'INPUT AND RESULTS'!E25</f>
        <v>2</v>
      </c>
      <c r="F25" s="150">
        <f>'INPUT AND RESULTS'!F25</f>
        <v>27</v>
      </c>
      <c r="G25" s="9">
        <f t="shared" si="20"/>
        <v>2.4842862552063614</v>
      </c>
      <c r="H25" s="9">
        <f t="shared" si="21"/>
        <v>0.805060204237159</v>
      </c>
      <c r="I25" s="9">
        <f t="shared" si="22"/>
        <v>1.4315930144191742</v>
      </c>
      <c r="J25" s="9">
        <f t="shared" si="23"/>
        <v>1.1068496715320484</v>
      </c>
      <c r="K25" s="150">
        <f>'INPUT AND RESULTS'!L25</f>
        <v>0</v>
      </c>
      <c r="L25" s="43">
        <f>'INPUT AND RESULTS'!M25</f>
        <v>200</v>
      </c>
      <c r="M25" s="151">
        <f>'INPUT AND RESULTS'!N25</f>
        <v>0</v>
      </c>
      <c r="N25" s="151">
        <f>'INPUT AND RESULTS'!O25</f>
        <v>1</v>
      </c>
      <c r="O25" s="150">
        <f>'INPUT AND RESULTS'!P25</f>
        <v>0</v>
      </c>
      <c r="P25" s="150">
        <f>'INPUT AND RESULTS'!Q25</f>
        <v>105</v>
      </c>
      <c r="Q25" s="150">
        <f>'INPUT AND RESULTS'!R25</f>
        <v>105</v>
      </c>
      <c r="R25" s="150">
        <f>'INPUT AND RESULTS'!S25</f>
        <v>30</v>
      </c>
      <c r="S25" s="150">
        <f>'INPUT AND RESULTS'!T25</f>
        <v>0</v>
      </c>
      <c r="T25" s="150">
        <f>'INPUT AND RESULTS'!U25</f>
        <v>105</v>
      </c>
      <c r="U25" s="150">
        <f>'INPUT AND RESULTS'!V25</f>
        <v>30</v>
      </c>
      <c r="V25" s="150">
        <f>'INPUT AND RESULTS'!W25</f>
        <v>0</v>
      </c>
      <c r="W25" s="150">
        <f>'INPUT AND RESULTS'!X25</f>
        <v>30</v>
      </c>
      <c r="X25" s="150">
        <f>'INPUT AND RESULTS'!Y25</f>
        <v>90</v>
      </c>
      <c r="Y25" s="150" t="s">
        <v>187</v>
      </c>
      <c r="Z25" s="150">
        <f>'INPUT AND RESULTS'!AA25</f>
        <v>250</v>
      </c>
      <c r="AA25" s="150">
        <f>'INPUT AND RESULTS'!AB25</f>
        <v>250</v>
      </c>
      <c r="AB25" s="47" t="s">
        <v>61</v>
      </c>
      <c r="AC25" s="49">
        <f t="shared" si="0"/>
        <v>0.5</v>
      </c>
      <c r="AF25" s="104"/>
      <c r="AG25" s="24">
        <f t="shared" si="24"/>
        <v>6947.870651881053</v>
      </c>
      <c r="AH25" s="26">
        <f>V25*BG25*'Load and Resistance Factors'!$E$11+0.5*(F25-2*BD25)*T25*BI25*'Load and Resistance Factors'!$E$11*AC25+T25*E25*BH25*'Load and Resistance Factors'!$E$11</f>
        <v>7690.248348881703</v>
      </c>
      <c r="AI25" s="24">
        <v>14</v>
      </c>
      <c r="AJ25" s="21" t="str">
        <f t="shared" si="25"/>
        <v>---</v>
      </c>
      <c r="AK25" s="24">
        <f>(P25*C25*F25*'Load and Resistance Factors'!$B$6)</f>
        <v>107730</v>
      </c>
      <c r="AL25" s="24" t="str">
        <f>IF(K25=0,"---",IF(L25&gt;=F25,(0.5*P25*(AJ25-C25)*F25*'Load and Resistance Factors'!$B$6),(0.5*P25*(L25*(TAN(RADIANS(K25)))*L25*'Load and Resistance Factors'!$B$6))))</f>
        <v>---</v>
      </c>
      <c r="AM25" s="24" t="str">
        <f>IF(K25=0,"---",IF(L25&gt;=F25,"---",(P25*(L25*(TAN(RADIANS(K25))))*(F25-L25)*'Load and Resistance Factors'!$B$6)))</f>
        <v>---</v>
      </c>
      <c r="AN25" s="24">
        <f>IF(K25=0,Z25*F25*'Load and Resistance Factors'!$D$6,IF(L25&gt;=F25,Z25*F25*'Load and Resistance Factors'!$D$6,AA25*(F25-L25)*'Load and Resistance Factors'!$D$6))</f>
        <v>11812.5</v>
      </c>
      <c r="AO25" s="21">
        <f t="shared" si="26"/>
        <v>0</v>
      </c>
      <c r="AP25" s="24">
        <f t="shared" si="27"/>
        <v>25270</v>
      </c>
      <c r="AQ25" s="24" t="str">
        <f>IF(K25=0,"---",IF(L25&gt;=F25,AP25*M25*'Load and Resistance Factors'!$C$6,AP25*CB25*'Load and Resistance Factors'!$C$6))</f>
        <v>---</v>
      </c>
      <c r="AR25" s="24" t="str">
        <f>IF(K25=0,"---",IF(L25&gt;=F25,AP25*N25*'Load and Resistance Factors'!$C$6,AP25*BZ25*'Load and Resistance Factors'!$C$6))</f>
        <v>---</v>
      </c>
      <c r="AS25" s="24">
        <f t="shared" si="28"/>
        <v>3166.6666666666665</v>
      </c>
      <c r="AT25" s="24" t="str">
        <f>IF(K25=0,"---",IF(L25&gt;=F25,AS25*M25*'Load and Resistance Factors'!$E$6,AS25*CB25*'Load and Resistance Factors'!$E$6))</f>
        <v>---</v>
      </c>
      <c r="AU25" s="24" t="str">
        <f>IF(K25=0,"---",IF(L25&gt;=F25,AS25*N25*'Load and Resistance Factors'!$E$6,AS25*BZ25*'Load and Resistance Factors'!$E$6))</f>
        <v>---</v>
      </c>
      <c r="AV25" s="24">
        <f>IF(K25=0,(AP25*'Load and Resistance Factors'!$C$6+AS25*'Load and Resistance Factors'!$E$6),AR25+AU25)</f>
        <v>43446.666666666664</v>
      </c>
      <c r="AW25" s="34">
        <f>'Load and Resistance Factors'!$E$10*AX25*(TAN(RADIANS(W25)))</f>
        <v>62197.94449979838</v>
      </c>
      <c r="AX25" s="24">
        <f t="shared" si="1"/>
        <v>107730</v>
      </c>
      <c r="AY25" s="24">
        <f t="shared" si="2"/>
        <v>119542.5</v>
      </c>
      <c r="AZ25" s="24">
        <f t="shared" si="3"/>
        <v>1454355</v>
      </c>
      <c r="BA25" s="24">
        <f>IF(K25=0,AZ25+(Z25*F25*(F25/2)*'Load and Resistance Factors'!$D$7),IF(L25&gt;=F25,AZ25+(AN25*(F25/2)),AZ25+(AN25*(L25+((F25-L25)/2)))))</f>
        <v>1613823.75</v>
      </c>
      <c r="BB25" s="24">
        <f>IF(K25=0,(AP25*'Load and Resistance Factors'!$C$6*(C25/3))+(AS25*'Load and Resistance Factors'!$E$6*(C25/2)),IF(L25&gt;=F25,(AR25*(AJ25/3))+(AU25*(AJ25/2)),(AR25*(AJ25/3))+(AU25*(AJ25/2))))</f>
        <v>585421.6666666666</v>
      </c>
      <c r="BC25" s="21">
        <f t="shared" si="4"/>
        <v>5.434156378600823</v>
      </c>
      <c r="BD25" s="21">
        <f t="shared" si="5"/>
        <v>4.8971844044307815</v>
      </c>
      <c r="BE25" s="21">
        <f t="shared" si="6"/>
        <v>17.205631191138437</v>
      </c>
      <c r="BF25" s="21">
        <f t="shared" si="29"/>
        <v>6.75</v>
      </c>
      <c r="BG25" s="21">
        <f t="shared" si="30"/>
        <v>30.139627791519086</v>
      </c>
      <c r="BH25" s="21">
        <f t="shared" si="31"/>
        <v>18.401122218708668</v>
      </c>
      <c r="BI25" s="21">
        <f t="shared" si="32"/>
        <v>22.402486271104557</v>
      </c>
      <c r="BJ25" s="22">
        <f t="shared" si="33"/>
        <v>0</v>
      </c>
      <c r="BK25" s="23">
        <f t="shared" si="7"/>
        <v>0.3333333333333333</v>
      </c>
      <c r="BL25" s="1" t="str">
        <f t="shared" si="8"/>
        <v> ---</v>
      </c>
      <c r="BM25" s="25" t="str">
        <f t="shared" si="9"/>
        <v>  --</v>
      </c>
      <c r="BN25" s="21" t="str">
        <f t="shared" si="10"/>
        <v> ---</v>
      </c>
      <c r="BO25" s="27" t="str">
        <f t="shared" si="11"/>
        <v>---</v>
      </c>
      <c r="BP25" s="192">
        <f t="shared" si="12"/>
        <v>0.017453292519943295</v>
      </c>
      <c r="BQ25" s="192">
        <f t="shared" si="13"/>
        <v>0.5773502691896257</v>
      </c>
      <c r="BR25" s="192">
        <f t="shared" si="14"/>
        <v>0</v>
      </c>
      <c r="BS25" s="3" t="s">
        <v>1</v>
      </c>
      <c r="BT25" s="193">
        <f t="shared" si="46"/>
        <v>13</v>
      </c>
      <c r="BU25" s="243">
        <f t="shared" si="34"/>
        <v>0</v>
      </c>
      <c r="BV25" s="243">
        <f t="shared" si="15"/>
        <v>0</v>
      </c>
      <c r="BW25" s="244">
        <f t="shared" si="16"/>
        <v>1</v>
      </c>
      <c r="BX25" s="244">
        <f t="shared" si="35"/>
        <v>1</v>
      </c>
      <c r="BY25" s="245">
        <f t="shared" si="36"/>
        <v>0.7500000000000001</v>
      </c>
      <c r="BZ25" s="244">
        <f t="shared" si="37"/>
        <v>1</v>
      </c>
      <c r="CA25" s="244">
        <f t="shared" si="38"/>
        <v>1</v>
      </c>
      <c r="CB25" s="244">
        <f t="shared" si="39"/>
        <v>0</v>
      </c>
      <c r="CC25" s="162">
        <f t="shared" si="40"/>
        <v>0.4999999999999999</v>
      </c>
      <c r="CD25" s="162">
        <f t="shared" si="41"/>
        <v>0.5000000000000001</v>
      </c>
      <c r="CE25" s="162">
        <f t="shared" si="17"/>
        <v>1.5</v>
      </c>
      <c r="CF25" s="246">
        <f t="shared" si="18"/>
        <v>0.3333333333333334</v>
      </c>
      <c r="CG25" s="162">
        <f t="shared" si="42"/>
        <v>0.4999999999999999</v>
      </c>
      <c r="CH25" s="162">
        <f t="shared" si="43"/>
        <v>0.5000000000000001</v>
      </c>
      <c r="CI25" s="162">
        <f t="shared" si="44"/>
        <v>1.5</v>
      </c>
      <c r="CJ25" s="246">
        <f t="shared" si="45"/>
        <v>0.3333333333333334</v>
      </c>
    </row>
    <row r="26" spans="1:88" ht="15.75">
      <c r="A26" s="45" t="s">
        <v>61</v>
      </c>
      <c r="B26" s="42">
        <v>16</v>
      </c>
      <c r="C26" s="10">
        <f t="shared" si="19"/>
        <v>40</v>
      </c>
      <c r="D26" s="150">
        <f>'INPUT AND RESULTS'!D26</f>
        <v>38</v>
      </c>
      <c r="E26" s="150">
        <f>'INPUT AND RESULTS'!E26</f>
        <v>2</v>
      </c>
      <c r="F26" s="150">
        <f>'INPUT AND RESULTS'!F26</f>
        <v>28</v>
      </c>
      <c r="G26" s="9">
        <f t="shared" si="20"/>
        <v>2.4331034482758622</v>
      </c>
      <c r="H26" s="9">
        <f t="shared" si="21"/>
        <v>0.8219954648526075</v>
      </c>
      <c r="I26" s="9">
        <f t="shared" si="22"/>
        <v>1.4194367593735187</v>
      </c>
      <c r="J26" s="9">
        <f t="shared" si="23"/>
        <v>1.0573155741188605</v>
      </c>
      <c r="K26" s="150">
        <f>'INPUT AND RESULTS'!L26</f>
        <v>0</v>
      </c>
      <c r="L26" s="43">
        <f>'INPUT AND RESULTS'!M26</f>
        <v>200</v>
      </c>
      <c r="M26" s="151">
        <f>'INPUT AND RESULTS'!N26</f>
        <v>0</v>
      </c>
      <c r="N26" s="151">
        <f>'INPUT AND RESULTS'!O26</f>
        <v>1</v>
      </c>
      <c r="O26" s="150">
        <f>'INPUT AND RESULTS'!P26</f>
        <v>0</v>
      </c>
      <c r="P26" s="150">
        <f>'INPUT AND RESULTS'!Q26</f>
        <v>105</v>
      </c>
      <c r="Q26" s="150">
        <f>'INPUT AND RESULTS'!R26</f>
        <v>105</v>
      </c>
      <c r="R26" s="150">
        <f>'INPUT AND RESULTS'!S26</f>
        <v>30</v>
      </c>
      <c r="S26" s="150">
        <f>'INPUT AND RESULTS'!T26</f>
        <v>0</v>
      </c>
      <c r="T26" s="150">
        <f>'INPUT AND RESULTS'!U26</f>
        <v>105</v>
      </c>
      <c r="U26" s="150">
        <f>'INPUT AND RESULTS'!V26</f>
        <v>30</v>
      </c>
      <c r="V26" s="150">
        <f>'INPUT AND RESULTS'!W26</f>
        <v>0</v>
      </c>
      <c r="W26" s="150">
        <f>'INPUT AND RESULTS'!X26</f>
        <v>30</v>
      </c>
      <c r="X26" s="150">
        <f>'INPUT AND RESULTS'!Y26</f>
        <v>90</v>
      </c>
      <c r="Y26" s="150" t="s">
        <v>187</v>
      </c>
      <c r="Z26" s="150">
        <f>'INPUT AND RESULTS'!AA26</f>
        <v>250</v>
      </c>
      <c r="AA26" s="150">
        <f>'INPUT AND RESULTS'!AB26</f>
        <v>250</v>
      </c>
      <c r="AB26" s="47" t="s">
        <v>61</v>
      </c>
      <c r="AC26" s="49">
        <f t="shared" si="0"/>
        <v>0.5</v>
      </c>
      <c r="AF26" s="104"/>
      <c r="AG26" s="24">
        <f t="shared" si="24"/>
        <v>7387.193314250664</v>
      </c>
      <c r="AH26" s="26">
        <f>V26*BG26*'Load and Resistance Factors'!$E$11+0.5*(F26-2*BD26)*T26*BI26*'Load and Resistance Factors'!$E$11*AC26+T26*E26*BH26*'Load and Resistance Factors'!$E$11</f>
        <v>7810.594540183948</v>
      </c>
      <c r="AI26" s="24">
        <v>15</v>
      </c>
      <c r="AJ26" s="21" t="str">
        <f t="shared" si="25"/>
        <v>---</v>
      </c>
      <c r="AK26" s="24">
        <f>(P26*C26*F26*'Load and Resistance Factors'!$B$6)</f>
        <v>117600</v>
      </c>
      <c r="AL26" s="24" t="str">
        <f>IF(K26=0,"---",IF(L26&gt;=F26,(0.5*P26*(AJ26-C26)*F26*'Load and Resistance Factors'!$B$6),(0.5*P26*(L26*(TAN(RADIANS(K26)))*L26*'Load and Resistance Factors'!$B$6))))</f>
        <v>---</v>
      </c>
      <c r="AM26" s="24" t="str">
        <f>IF(K26=0,"---",IF(L26&gt;=F26,"---",(P26*(L26*(TAN(RADIANS(K26))))*(F26-L26)*'Load and Resistance Factors'!$B$6)))</f>
        <v>---</v>
      </c>
      <c r="AN26" s="24">
        <f>IF(K26=0,Z26*F26*'Load and Resistance Factors'!$D$6,IF(L26&gt;=F26,Z26*F26*'Load and Resistance Factors'!$D$6,AA26*(F26-L26)*'Load and Resistance Factors'!$D$6))</f>
        <v>12250</v>
      </c>
      <c r="AO26" s="21">
        <f t="shared" si="26"/>
        <v>0</v>
      </c>
      <c r="AP26" s="24">
        <f t="shared" si="27"/>
        <v>28000</v>
      </c>
      <c r="AQ26" s="24" t="str">
        <f>IF(K26=0,"---",IF(L26&gt;=F26,AP26*M26*'Load and Resistance Factors'!$C$6,AP26*CB26*'Load and Resistance Factors'!$C$6))</f>
        <v>---</v>
      </c>
      <c r="AR26" s="24" t="str">
        <f>IF(K26=0,"---",IF(L26&gt;=F26,AP26*N26*'Load and Resistance Factors'!$C$6,AP26*BZ26*'Load and Resistance Factors'!$C$6))</f>
        <v>---</v>
      </c>
      <c r="AS26" s="24">
        <f t="shared" si="28"/>
        <v>3333.333333333333</v>
      </c>
      <c r="AT26" s="24" t="str">
        <f>IF(K26=0,"---",IF(L26&gt;=F26,AS26*M26*'Load and Resistance Factors'!$E$6,AS26*CB26*'Load and Resistance Factors'!$E$6))</f>
        <v>---</v>
      </c>
      <c r="AU26" s="24" t="str">
        <f>IF(K26=0,"---",IF(L26&gt;=F26,AS26*N26*'Load and Resistance Factors'!$E$6,AS26*BZ26*'Load and Resistance Factors'!$E$6))</f>
        <v>---</v>
      </c>
      <c r="AV26" s="24">
        <f>IF(K26=0,(AP26*'Load and Resistance Factors'!$C$6+AS26*'Load and Resistance Factors'!$E$6),AR26+AU26)</f>
        <v>47833.333333333336</v>
      </c>
      <c r="AW26" s="34">
        <f>'Load and Resistance Factors'!$E$10*AX26*(TAN(RADIANS(W26)))</f>
        <v>67896.39165669998</v>
      </c>
      <c r="AX26" s="24">
        <f t="shared" si="1"/>
        <v>117600</v>
      </c>
      <c r="AY26" s="24">
        <f t="shared" si="2"/>
        <v>129850</v>
      </c>
      <c r="AZ26" s="24">
        <f t="shared" si="3"/>
        <v>1646400</v>
      </c>
      <c r="BA26" s="24">
        <f>IF(K26=0,AZ26+(Z26*F26*(F26/2)*'Load and Resistance Factors'!$D$7),IF(L26&gt;=F26,AZ26+(AN26*(F26/2)),AZ26+(AN26*(L26+((F26-L26)/2)))))</f>
        <v>1817900</v>
      </c>
      <c r="BB26" s="24">
        <f>IF(K26=0,(AP26*'Load and Resistance Factors'!$C$6*(C26/3))+(AS26*'Load and Resistance Factors'!$E$6*(C26/2)),IF(L26&gt;=F26,(AR26*(AJ26/3))+(AU26*(AJ26/2)),(AR26*(AJ26/3))+(AU26*(AJ26/2))))</f>
        <v>676666.6666666666</v>
      </c>
      <c r="BC26" s="21">
        <f t="shared" si="4"/>
        <v>5.753968253968253</v>
      </c>
      <c r="BD26" s="21">
        <f t="shared" si="5"/>
        <v>5.211141060197663</v>
      </c>
      <c r="BE26" s="21">
        <f t="shared" si="6"/>
        <v>17.577717879604673</v>
      </c>
      <c r="BF26" s="21">
        <f t="shared" si="29"/>
        <v>7</v>
      </c>
      <c r="BG26" s="21">
        <f t="shared" si="30"/>
        <v>30.139627791519086</v>
      </c>
      <c r="BH26" s="21">
        <f t="shared" si="31"/>
        <v>18.401122218708668</v>
      </c>
      <c r="BI26" s="21">
        <f t="shared" si="32"/>
        <v>22.402486271104557</v>
      </c>
      <c r="BJ26" s="22">
        <f t="shared" si="33"/>
        <v>0</v>
      </c>
      <c r="BK26" s="23">
        <f t="shared" si="7"/>
        <v>0.3333333333333333</v>
      </c>
      <c r="BL26" s="4" t="str">
        <f t="shared" si="8"/>
        <v> ---</v>
      </c>
      <c r="BM26" s="25" t="str">
        <f t="shared" si="9"/>
        <v>  --</v>
      </c>
      <c r="BN26" s="21" t="str">
        <f t="shared" si="10"/>
        <v> ---</v>
      </c>
      <c r="BO26" s="27" t="str">
        <f t="shared" si="11"/>
        <v>---</v>
      </c>
      <c r="BP26" s="235">
        <f t="shared" si="12"/>
        <v>0.017453292519943295</v>
      </c>
      <c r="BQ26" s="235">
        <f t="shared" si="13"/>
        <v>0.5773502691896257</v>
      </c>
      <c r="BR26" s="235">
        <f t="shared" si="14"/>
        <v>0</v>
      </c>
      <c r="BS26" s="204" t="s">
        <v>1</v>
      </c>
      <c r="BT26" s="193">
        <f t="shared" si="46"/>
        <v>14</v>
      </c>
      <c r="BU26" s="243">
        <f t="shared" si="34"/>
        <v>0</v>
      </c>
      <c r="BV26" s="243">
        <f t="shared" si="15"/>
        <v>0</v>
      </c>
      <c r="BW26" s="244">
        <f t="shared" si="16"/>
        <v>1</v>
      </c>
      <c r="BX26" s="244">
        <f t="shared" si="35"/>
        <v>1</v>
      </c>
      <c r="BY26" s="245">
        <f t="shared" si="36"/>
        <v>0.7500000000000001</v>
      </c>
      <c r="BZ26" s="244">
        <f t="shared" si="37"/>
        <v>1</v>
      </c>
      <c r="CA26" s="244">
        <f t="shared" si="38"/>
        <v>1</v>
      </c>
      <c r="CB26" s="244">
        <f t="shared" si="39"/>
        <v>0</v>
      </c>
      <c r="CC26" s="162">
        <f t="shared" si="40"/>
        <v>0.4999999999999999</v>
      </c>
      <c r="CD26" s="162">
        <f t="shared" si="41"/>
        <v>0.5000000000000001</v>
      </c>
      <c r="CE26" s="162">
        <f t="shared" si="17"/>
        <v>1.5</v>
      </c>
      <c r="CF26" s="246">
        <f t="shared" si="18"/>
        <v>0.3333333333333334</v>
      </c>
      <c r="CG26" s="162">
        <f t="shared" si="42"/>
        <v>0.4999999999999999</v>
      </c>
      <c r="CH26" s="162">
        <f t="shared" si="43"/>
        <v>0.5000000000000001</v>
      </c>
      <c r="CI26" s="162">
        <f t="shared" si="44"/>
        <v>1.5</v>
      </c>
      <c r="CJ26" s="246">
        <f t="shared" si="45"/>
        <v>0.3333333333333334</v>
      </c>
    </row>
    <row r="27" spans="1:88" ht="15.75">
      <c r="A27" s="45" t="s">
        <v>61</v>
      </c>
      <c r="B27" s="42">
        <v>17</v>
      </c>
      <c r="C27" s="10">
        <f t="shared" si="19"/>
        <v>42</v>
      </c>
      <c r="D27" s="150">
        <f>'INPUT AND RESULTS'!D27</f>
        <v>40</v>
      </c>
      <c r="E27" s="150">
        <f>'INPUT AND RESULTS'!E27</f>
        <v>2</v>
      </c>
      <c r="F27" s="150">
        <f>'INPUT AND RESULTS'!F27</f>
        <v>30</v>
      </c>
      <c r="G27" s="9">
        <f t="shared" si="20"/>
        <v>2.554399243140965</v>
      </c>
      <c r="H27" s="9">
        <f t="shared" si="21"/>
        <v>0.7829629629629629</v>
      </c>
      <c r="I27" s="9">
        <f t="shared" si="22"/>
        <v>1.45686516524485</v>
      </c>
      <c r="J27" s="9">
        <f t="shared" si="23"/>
        <v>1.11206720579234</v>
      </c>
      <c r="K27" s="150">
        <f>'INPUT AND RESULTS'!L27</f>
        <v>0</v>
      </c>
      <c r="L27" s="43">
        <f>'INPUT AND RESULTS'!M27</f>
        <v>200</v>
      </c>
      <c r="M27" s="151">
        <f>'INPUT AND RESULTS'!N27</f>
        <v>0</v>
      </c>
      <c r="N27" s="151">
        <f>'INPUT AND RESULTS'!O27</f>
        <v>1</v>
      </c>
      <c r="O27" s="150">
        <f>'INPUT AND RESULTS'!P27</f>
        <v>0</v>
      </c>
      <c r="P27" s="150">
        <f>'INPUT AND RESULTS'!Q27</f>
        <v>105</v>
      </c>
      <c r="Q27" s="150">
        <f>'INPUT AND RESULTS'!R27</f>
        <v>105</v>
      </c>
      <c r="R27" s="150">
        <f>'INPUT AND RESULTS'!S27</f>
        <v>30</v>
      </c>
      <c r="S27" s="150">
        <f>'INPUT AND RESULTS'!T27</f>
        <v>0</v>
      </c>
      <c r="T27" s="150">
        <f>'INPUT AND RESULTS'!U27</f>
        <v>105</v>
      </c>
      <c r="U27" s="150">
        <f>'INPUT AND RESULTS'!V27</f>
        <v>30</v>
      </c>
      <c r="V27" s="150">
        <f>'INPUT AND RESULTS'!W27</f>
        <v>0</v>
      </c>
      <c r="W27" s="150">
        <f>'INPUT AND RESULTS'!X27</f>
        <v>30</v>
      </c>
      <c r="X27" s="150">
        <f>'INPUT AND RESULTS'!Y27</f>
        <v>90</v>
      </c>
      <c r="Y27" s="150" t="s">
        <v>187</v>
      </c>
      <c r="Z27" s="150">
        <f>'INPUT AND RESULTS'!AA27</f>
        <v>250</v>
      </c>
      <c r="AA27" s="150">
        <f>'INPUT AND RESULTS'!AB27</f>
        <v>250</v>
      </c>
      <c r="AB27" s="47" t="s">
        <v>61</v>
      </c>
      <c r="AC27" s="49">
        <f t="shared" si="0"/>
        <v>0.5</v>
      </c>
      <c r="AF27" s="104"/>
      <c r="AG27" s="24">
        <f t="shared" si="24"/>
        <v>7528.918398624402</v>
      </c>
      <c r="AH27" s="26">
        <f>V27*BG27*'Load and Resistance Factors'!$E$11+0.5*(F27-2*BD27)*T27*BI27*'Load and Resistance Factors'!$E$11*AC27+T27*E27*BH27*'Load and Resistance Factors'!$E$11</f>
        <v>8372.663246196777</v>
      </c>
      <c r="AI27" s="24">
        <v>16</v>
      </c>
      <c r="AJ27" s="21" t="str">
        <f t="shared" si="25"/>
        <v>---</v>
      </c>
      <c r="AK27" s="24">
        <f>(P27*C27*F27*'Load and Resistance Factors'!$B$6)</f>
        <v>132300</v>
      </c>
      <c r="AL27" s="24" t="str">
        <f>IF(K27=0,"---",IF(L27&gt;=F27,(0.5*P27*(AJ27-C27)*F27*'Load and Resistance Factors'!$B$6),(0.5*P27*(L27*(TAN(RADIANS(K27)))*L27*'Load and Resistance Factors'!$B$6))))</f>
        <v>---</v>
      </c>
      <c r="AM27" s="24" t="str">
        <f>IF(K27=0,"---",IF(L27&gt;=F27,"---",(P27*(L27*(TAN(RADIANS(K27))))*(F27-L27)*'Load and Resistance Factors'!$B$6)))</f>
        <v>---</v>
      </c>
      <c r="AN27" s="24">
        <f>IF(K27=0,Z27*F27*'Load and Resistance Factors'!$D$6,IF(L27&gt;=F27,Z27*F27*'Load and Resistance Factors'!$D$6,AA27*(F27-L27)*'Load and Resistance Factors'!$D$6))</f>
        <v>13125</v>
      </c>
      <c r="AO27" s="21">
        <f t="shared" si="26"/>
        <v>0</v>
      </c>
      <c r="AP27" s="24">
        <f t="shared" si="27"/>
        <v>30870</v>
      </c>
      <c r="AQ27" s="24" t="str">
        <f>IF(K27=0,"---",IF(L27&gt;=F27,AP27*M27*'Load and Resistance Factors'!$C$6,AP27*CB27*'Load and Resistance Factors'!$C$6))</f>
        <v>---</v>
      </c>
      <c r="AR27" s="24" t="str">
        <f>IF(K27=0,"---",IF(L27&gt;=F27,AP27*N27*'Load and Resistance Factors'!$C$6,AP27*BZ27*'Load and Resistance Factors'!$C$6))</f>
        <v>---</v>
      </c>
      <c r="AS27" s="24">
        <f t="shared" si="28"/>
        <v>3500</v>
      </c>
      <c r="AT27" s="24" t="str">
        <f>IF(K27=0,"---",IF(L27&gt;=F27,AS27*M27*'Load and Resistance Factors'!$E$6,AS27*CB27*'Load and Resistance Factors'!$E$6))</f>
        <v>---</v>
      </c>
      <c r="AU27" s="24" t="str">
        <f>IF(K27=0,"---",IF(L27&gt;=F27,AS27*N27*'Load and Resistance Factors'!$E$6,AS27*BZ27*'Load and Resistance Factors'!$E$6))</f>
        <v>---</v>
      </c>
      <c r="AV27" s="24">
        <f>IF(K27=0,(AP27*'Load and Resistance Factors'!$C$6+AS27*'Load and Resistance Factors'!$E$6),AR27+AU27)</f>
        <v>52430</v>
      </c>
      <c r="AW27" s="34">
        <f>'Load and Resistance Factors'!$E$10*AX27*(TAN(RADIANS(W27)))</f>
        <v>76383.44061378749</v>
      </c>
      <c r="AX27" s="24">
        <f t="shared" si="1"/>
        <v>132300</v>
      </c>
      <c r="AY27" s="24">
        <f t="shared" si="2"/>
        <v>145425</v>
      </c>
      <c r="AZ27" s="24">
        <f t="shared" si="3"/>
        <v>1984500</v>
      </c>
      <c r="BA27" s="24">
        <f>IF(K27=0,AZ27+(Z27*F27*(F27/2)*'Load and Resistance Factors'!$D$7),IF(L27&gt;=F27,AZ27+(AN27*(F27/2)),AZ27+(AN27*(L27+((F27-L27)/2)))))</f>
        <v>2181375</v>
      </c>
      <c r="BB27" s="24">
        <f>IF(K27=0,(AP27*'Load and Resistance Factors'!$C$6*(C27/3))+(AS27*'Load and Resistance Factors'!$E$6*(C27/2)),IF(L27&gt;=F27,(AR27*(AJ27/3))+(AU27*(AJ27/2)),(AR27*(AJ27/3))+(AU27*(AJ27/2))))</f>
        <v>776895</v>
      </c>
      <c r="BC27" s="21">
        <f t="shared" si="4"/>
        <v>5.872222222222222</v>
      </c>
      <c r="BD27" s="21">
        <f t="shared" si="5"/>
        <v>5.342238267148014</v>
      </c>
      <c r="BE27" s="21">
        <f t="shared" si="6"/>
        <v>19.315523465703972</v>
      </c>
      <c r="BF27" s="21">
        <f t="shared" si="29"/>
        <v>7.5</v>
      </c>
      <c r="BG27" s="21">
        <f t="shared" si="30"/>
        <v>30.139627791519086</v>
      </c>
      <c r="BH27" s="21">
        <f t="shared" si="31"/>
        <v>18.401122218708668</v>
      </c>
      <c r="BI27" s="21">
        <f t="shared" si="32"/>
        <v>22.402486271104557</v>
      </c>
      <c r="BJ27" s="22">
        <f t="shared" si="33"/>
        <v>0</v>
      </c>
      <c r="BK27" s="23">
        <f t="shared" si="7"/>
        <v>0.3333333333333333</v>
      </c>
      <c r="BL27" s="4" t="str">
        <f t="shared" si="8"/>
        <v> ---</v>
      </c>
      <c r="BM27" s="25" t="str">
        <f t="shared" si="9"/>
        <v>  --</v>
      </c>
      <c r="BN27" s="21" t="str">
        <f t="shared" si="10"/>
        <v> ---</v>
      </c>
      <c r="BO27" s="27" t="str">
        <f t="shared" si="11"/>
        <v>---</v>
      </c>
      <c r="BP27" s="235">
        <f t="shared" si="12"/>
        <v>0.017453292519943295</v>
      </c>
      <c r="BQ27" s="235">
        <f t="shared" si="13"/>
        <v>0.5773502691896257</v>
      </c>
      <c r="BR27" s="235">
        <f t="shared" si="14"/>
        <v>0</v>
      </c>
      <c r="BS27" s="204" t="s">
        <v>1</v>
      </c>
      <c r="BT27" s="193">
        <f t="shared" si="46"/>
        <v>15</v>
      </c>
      <c r="BU27" s="243">
        <f t="shared" si="34"/>
        <v>0</v>
      </c>
      <c r="BV27" s="243">
        <f t="shared" si="15"/>
        <v>0</v>
      </c>
      <c r="BW27" s="244">
        <f t="shared" si="16"/>
        <v>1</v>
      </c>
      <c r="BX27" s="244">
        <f t="shared" si="35"/>
        <v>1</v>
      </c>
      <c r="BY27" s="245">
        <f t="shared" si="36"/>
        <v>0.7500000000000001</v>
      </c>
      <c r="BZ27" s="244">
        <f t="shared" si="37"/>
        <v>1</v>
      </c>
      <c r="CA27" s="244">
        <f t="shared" si="38"/>
        <v>1</v>
      </c>
      <c r="CB27" s="244">
        <f t="shared" si="39"/>
        <v>0</v>
      </c>
      <c r="CC27" s="162">
        <f t="shared" si="40"/>
        <v>0.4999999999999999</v>
      </c>
      <c r="CD27" s="162">
        <f t="shared" si="41"/>
        <v>0.5000000000000001</v>
      </c>
      <c r="CE27" s="162">
        <f t="shared" si="17"/>
        <v>1.5</v>
      </c>
      <c r="CF27" s="246">
        <f t="shared" si="18"/>
        <v>0.3333333333333334</v>
      </c>
      <c r="CG27" s="162">
        <f t="shared" si="42"/>
        <v>0.4999999999999999</v>
      </c>
      <c r="CH27" s="162">
        <f t="shared" si="43"/>
        <v>0.5000000000000001</v>
      </c>
      <c r="CI27" s="162">
        <f t="shared" si="44"/>
        <v>1.5</v>
      </c>
      <c r="CJ27" s="246">
        <f t="shared" si="45"/>
        <v>0.3333333333333334</v>
      </c>
    </row>
    <row r="28" spans="1:88" ht="15.75">
      <c r="A28" s="45" t="s">
        <v>61</v>
      </c>
      <c r="B28" s="42">
        <v>18</v>
      </c>
      <c r="C28" s="10">
        <f t="shared" si="19"/>
        <v>44</v>
      </c>
      <c r="D28" s="150">
        <f>'INPUT AND RESULTS'!D28</f>
        <v>42</v>
      </c>
      <c r="E28" s="150">
        <f>'INPUT AND RESULTS'!E28</f>
        <v>2</v>
      </c>
      <c r="F28" s="150">
        <f>'INPUT AND RESULTS'!F28</f>
        <v>31</v>
      </c>
      <c r="G28" s="9">
        <f t="shared" si="20"/>
        <v>2.5040532715691954</v>
      </c>
      <c r="H28" s="9">
        <f t="shared" si="21"/>
        <v>0.7987050526072376</v>
      </c>
      <c r="I28" s="9">
        <f t="shared" si="22"/>
        <v>1.444670180304086</v>
      </c>
      <c r="J28" s="9">
        <f t="shared" si="23"/>
        <v>1.0668118835477565</v>
      </c>
      <c r="K28" s="150">
        <f>'INPUT AND RESULTS'!L28</f>
        <v>0</v>
      </c>
      <c r="L28" s="43">
        <f>'INPUT AND RESULTS'!M28</f>
        <v>200</v>
      </c>
      <c r="M28" s="151">
        <f>'INPUT AND RESULTS'!N28</f>
        <v>0</v>
      </c>
      <c r="N28" s="151">
        <f>'INPUT AND RESULTS'!O28</f>
        <v>1</v>
      </c>
      <c r="O28" s="150">
        <f>'INPUT AND RESULTS'!P28</f>
        <v>0</v>
      </c>
      <c r="P28" s="150">
        <f>'INPUT AND RESULTS'!Q28</f>
        <v>105</v>
      </c>
      <c r="Q28" s="150">
        <f>'INPUT AND RESULTS'!R28</f>
        <v>105</v>
      </c>
      <c r="R28" s="150">
        <f>'INPUT AND RESULTS'!S28</f>
        <v>30</v>
      </c>
      <c r="S28" s="150">
        <f>'INPUT AND RESULTS'!T28</f>
        <v>0</v>
      </c>
      <c r="T28" s="150">
        <f>'INPUT AND RESULTS'!U28</f>
        <v>105</v>
      </c>
      <c r="U28" s="150">
        <f>'INPUT AND RESULTS'!V28</f>
        <v>30</v>
      </c>
      <c r="V28" s="150">
        <f>'INPUT AND RESULTS'!W28</f>
        <v>0</v>
      </c>
      <c r="W28" s="150">
        <f>'INPUT AND RESULTS'!X28</f>
        <v>30</v>
      </c>
      <c r="X28" s="150">
        <f>'INPUT AND RESULTS'!Y28</f>
        <v>90</v>
      </c>
      <c r="Y28" s="150" t="s">
        <v>187</v>
      </c>
      <c r="Z28" s="150">
        <f>'INPUT AND RESULTS'!AA28</f>
        <v>250</v>
      </c>
      <c r="AA28" s="150">
        <f>'INPUT AND RESULTS'!AB28</f>
        <v>250</v>
      </c>
      <c r="AB28" s="47" t="s">
        <v>61</v>
      </c>
      <c r="AC28" s="49">
        <f t="shared" si="0"/>
        <v>0.5</v>
      </c>
      <c r="AD28" s="146"/>
      <c r="AF28" s="104"/>
      <c r="AG28" s="24">
        <f t="shared" si="24"/>
        <v>7962.140169300971</v>
      </c>
      <c r="AH28" s="26">
        <f>V28*BG28*'Load and Resistance Factors'!$E$11+0.5*(F28-2*BD28)*T28*BI28*'Load and Resistance Factors'!$E$11*AC28+T28*E28*BH28*'Load and Resistance Factors'!$E$11</f>
        <v>8494.105751083222</v>
      </c>
      <c r="AI28" s="24">
        <v>17</v>
      </c>
      <c r="AJ28" s="21" t="str">
        <f t="shared" si="25"/>
        <v>---</v>
      </c>
      <c r="AK28" s="24">
        <f>(P28*C28*F28*'Load and Resistance Factors'!$B$6)</f>
        <v>143220</v>
      </c>
      <c r="AL28" s="24" t="str">
        <f>IF(K28=0,"---",IF(L28&gt;=F28,(0.5*P28*(AJ28-C28)*F28*'Load and Resistance Factors'!$B$6),(0.5*P28*(L28*(TAN(RADIANS(K28)))*L28*'Load and Resistance Factors'!$B$6))))</f>
        <v>---</v>
      </c>
      <c r="AM28" s="24" t="str">
        <f>IF(K28=0,"---",IF(L28&gt;=F28,"---",(P28*(L28*(TAN(RADIANS(K28))))*(F28-L28)*'Load and Resistance Factors'!$B$6)))</f>
        <v>---</v>
      </c>
      <c r="AN28" s="24">
        <f>IF(K28=0,Z28*F28*'Load and Resistance Factors'!$D$6,IF(L28&gt;=F28,Z28*F28*'Load and Resistance Factors'!$D$6,AA28*(F28-L28)*'Load and Resistance Factors'!$D$6))</f>
        <v>13562.5</v>
      </c>
      <c r="AO28" s="21">
        <f t="shared" si="26"/>
        <v>0</v>
      </c>
      <c r="AP28" s="24">
        <f t="shared" si="27"/>
        <v>33880</v>
      </c>
      <c r="AQ28" s="24" t="str">
        <f>IF(K28=0,"---",IF(L28&gt;=F28,AP28*M28*'Load and Resistance Factors'!$C$6,AP28*CB28*'Load and Resistance Factors'!$C$6))</f>
        <v>---</v>
      </c>
      <c r="AR28" s="24" t="str">
        <f>IF(K28=0,"---",IF(L28&gt;=F28,AP28*N28*'Load and Resistance Factors'!$C$6,AP28*BZ28*'Load and Resistance Factors'!$C$6))</f>
        <v>---</v>
      </c>
      <c r="AS28" s="24">
        <f t="shared" si="28"/>
        <v>3666.6666666666665</v>
      </c>
      <c r="AT28" s="24" t="str">
        <f>IF(K28=0,"---",IF(L28&gt;=F28,AS28*M28*'Load and Resistance Factors'!$E$6,AS28*CB28*'Load and Resistance Factors'!$E$6))</f>
        <v>---</v>
      </c>
      <c r="AU28" s="24" t="str">
        <f>IF(K28=0,"---",IF(L28&gt;=F28,AS28*N28*'Load and Resistance Factors'!$E$6,AS28*BZ28*'Load and Resistance Factors'!$E$6))</f>
        <v>---</v>
      </c>
      <c r="AV28" s="24">
        <f>IF(K28=0,(AP28*'Load and Resistance Factors'!$C$6+AS28*'Load and Resistance Factors'!$E$6),AR28+AU28)</f>
        <v>57236.666666666664</v>
      </c>
      <c r="AW28" s="34">
        <f>'Load and Resistance Factors'!$E$10*AX28*(TAN(RADIANS(W28)))</f>
        <v>82688.1055533382</v>
      </c>
      <c r="AX28" s="24">
        <f t="shared" si="1"/>
        <v>143220</v>
      </c>
      <c r="AY28" s="24">
        <f t="shared" si="2"/>
        <v>156782.5</v>
      </c>
      <c r="AZ28" s="24">
        <f t="shared" si="3"/>
        <v>2219910</v>
      </c>
      <c r="BA28" s="24">
        <f>IF(K28=0,AZ28+(Z28*F28*(F28/2)*'Load and Resistance Factors'!$D$7),IF(L28&gt;=F28,AZ28+(AN28*(F28/2)),AZ28+(AN28*(L28+((F28-L28)/2)))))</f>
        <v>2430128.75</v>
      </c>
      <c r="BB28" s="24">
        <f>IF(K28=0,(AP28*'Load and Resistance Factors'!$C$6*(C28/3))+(AS28*'Load and Resistance Factors'!$E$6*(C28/2)),IF(L28&gt;=F28,(AR28*(AJ28/3))+(AU28*(AJ28/2)),(AR28*(AJ28/3))+(AU28*(AJ28/2))))</f>
        <v>886526.6666666666</v>
      </c>
      <c r="BC28" s="21">
        <f t="shared" si="4"/>
        <v>6.1899641577060915</v>
      </c>
      <c r="BD28" s="21">
        <f t="shared" si="5"/>
        <v>5.654500130222866</v>
      </c>
      <c r="BE28" s="21">
        <f t="shared" si="6"/>
        <v>19.690999739554268</v>
      </c>
      <c r="BF28" s="21">
        <f t="shared" si="29"/>
        <v>7.75</v>
      </c>
      <c r="BG28" s="21">
        <f t="shared" si="30"/>
        <v>30.139627791519086</v>
      </c>
      <c r="BH28" s="21">
        <f t="shared" si="31"/>
        <v>18.401122218708668</v>
      </c>
      <c r="BI28" s="21">
        <f t="shared" si="32"/>
        <v>22.402486271104557</v>
      </c>
      <c r="BJ28" s="22">
        <f t="shared" si="33"/>
        <v>0</v>
      </c>
      <c r="BK28" s="23">
        <f t="shared" si="7"/>
        <v>0.3333333333333333</v>
      </c>
      <c r="BL28" s="1" t="str">
        <f t="shared" si="8"/>
        <v> ---</v>
      </c>
      <c r="BM28" s="25" t="str">
        <f t="shared" si="9"/>
        <v>  --</v>
      </c>
      <c r="BN28" s="21" t="str">
        <f t="shared" si="10"/>
        <v> ---</v>
      </c>
      <c r="BO28" s="27" t="str">
        <f t="shared" si="11"/>
        <v>---</v>
      </c>
      <c r="BP28" s="192">
        <f t="shared" si="12"/>
        <v>0.017453292519943295</v>
      </c>
      <c r="BQ28" s="192">
        <f t="shared" si="13"/>
        <v>0.5773502691896257</v>
      </c>
      <c r="BR28" s="192">
        <f t="shared" si="14"/>
        <v>0</v>
      </c>
      <c r="BS28" s="3" t="s">
        <v>1</v>
      </c>
      <c r="BT28" s="193">
        <f t="shared" si="46"/>
        <v>16</v>
      </c>
      <c r="BU28" s="243">
        <f t="shared" si="34"/>
        <v>0</v>
      </c>
      <c r="BV28" s="243">
        <f t="shared" si="15"/>
        <v>0</v>
      </c>
      <c r="BW28" s="244">
        <f t="shared" si="16"/>
        <v>1</v>
      </c>
      <c r="BX28" s="244">
        <f t="shared" si="35"/>
        <v>1</v>
      </c>
      <c r="BY28" s="245">
        <f t="shared" si="36"/>
        <v>0.7500000000000001</v>
      </c>
      <c r="BZ28" s="244">
        <f t="shared" si="37"/>
        <v>1</v>
      </c>
      <c r="CA28" s="244">
        <f t="shared" si="38"/>
        <v>1</v>
      </c>
      <c r="CB28" s="244">
        <f t="shared" si="39"/>
        <v>0</v>
      </c>
      <c r="CC28" s="162">
        <f t="shared" si="40"/>
        <v>0.4999999999999999</v>
      </c>
      <c r="CD28" s="162">
        <f t="shared" si="41"/>
        <v>0.5000000000000001</v>
      </c>
      <c r="CE28" s="162">
        <f t="shared" si="17"/>
        <v>1.5</v>
      </c>
      <c r="CF28" s="246">
        <f t="shared" si="18"/>
        <v>0.3333333333333334</v>
      </c>
      <c r="CG28" s="162">
        <f t="shared" si="42"/>
        <v>0.4999999999999999</v>
      </c>
      <c r="CH28" s="162">
        <f t="shared" si="43"/>
        <v>0.5000000000000001</v>
      </c>
      <c r="CI28" s="162">
        <f t="shared" si="44"/>
        <v>1.5</v>
      </c>
      <c r="CJ28" s="246">
        <f t="shared" si="45"/>
        <v>0.3333333333333334</v>
      </c>
    </row>
    <row r="29" spans="1:88" ht="15.75">
      <c r="A29" s="45" t="s">
        <v>61</v>
      </c>
      <c r="B29" s="42">
        <v>19</v>
      </c>
      <c r="C29" s="10">
        <f t="shared" si="19"/>
        <v>46</v>
      </c>
      <c r="D29" s="150">
        <f>'INPUT AND RESULTS'!D29</f>
        <v>44</v>
      </c>
      <c r="E29" s="150">
        <f>'INPUT AND RESULTS'!E29</f>
        <v>2</v>
      </c>
      <c r="F29" s="150">
        <f>'INPUT AND RESULTS'!F29</f>
        <v>33</v>
      </c>
      <c r="G29" s="9">
        <f t="shared" si="20"/>
        <v>2.614297145905575</v>
      </c>
      <c r="H29" s="9">
        <f t="shared" si="21"/>
        <v>0.765023977145189</v>
      </c>
      <c r="I29" s="9">
        <f t="shared" si="22"/>
        <v>1.4782157754251624</v>
      </c>
      <c r="J29" s="9">
        <f t="shared" si="23"/>
        <v>1.1161090308234023</v>
      </c>
      <c r="K29" s="150">
        <f>'INPUT AND RESULTS'!L29</f>
        <v>0</v>
      </c>
      <c r="L29" s="43">
        <f>'INPUT AND RESULTS'!M29</f>
        <v>200</v>
      </c>
      <c r="M29" s="151">
        <f>'INPUT AND RESULTS'!N29</f>
        <v>0</v>
      </c>
      <c r="N29" s="151">
        <f>'INPUT AND RESULTS'!O29</f>
        <v>1</v>
      </c>
      <c r="O29" s="150">
        <f>'INPUT AND RESULTS'!P29</f>
        <v>0</v>
      </c>
      <c r="P29" s="150">
        <f>'INPUT AND RESULTS'!Q29</f>
        <v>105</v>
      </c>
      <c r="Q29" s="150">
        <f>'INPUT AND RESULTS'!R29</f>
        <v>105</v>
      </c>
      <c r="R29" s="150">
        <f>'INPUT AND RESULTS'!S29</f>
        <v>30</v>
      </c>
      <c r="S29" s="150">
        <f>'INPUT AND RESULTS'!T29</f>
        <v>0</v>
      </c>
      <c r="T29" s="150">
        <f>'INPUT AND RESULTS'!U29</f>
        <v>105</v>
      </c>
      <c r="U29" s="150">
        <f>'INPUT AND RESULTS'!V29</f>
        <v>30</v>
      </c>
      <c r="V29" s="150">
        <f>'INPUT AND RESULTS'!W29</f>
        <v>0</v>
      </c>
      <c r="W29" s="150">
        <f>'INPUT AND RESULTS'!X29</f>
        <v>30</v>
      </c>
      <c r="X29" s="150">
        <f>'INPUT AND RESULTS'!Y29</f>
        <v>90</v>
      </c>
      <c r="Y29" s="150" t="s">
        <v>187</v>
      </c>
      <c r="Z29" s="150">
        <f>'INPUT AND RESULTS'!AA29</f>
        <v>250</v>
      </c>
      <c r="AA29" s="150">
        <f>'INPUT AND RESULTS'!AB29</f>
        <v>250</v>
      </c>
      <c r="AB29" s="47" t="s">
        <v>61</v>
      </c>
      <c r="AC29" s="49">
        <f t="shared" si="0"/>
        <v>0.5</v>
      </c>
      <c r="AD29" s="146"/>
      <c r="AE29" s="149"/>
      <c r="AF29" s="82"/>
      <c r="AG29" s="24">
        <f t="shared" si="24"/>
        <v>8113.10620180779</v>
      </c>
      <c r="AH29" s="26">
        <f>V29*BG29*'Load and Resistance Factors'!$E$11+0.5*(F29-2*BD29)*T29*BI29*'Load and Resistance Factors'!$E$11*AC29+T29*E29*BH29*'Load and Resistance Factors'!$E$11</f>
        <v>9055.111099867026</v>
      </c>
      <c r="AI29" s="24">
        <v>18</v>
      </c>
      <c r="AJ29" s="21" t="str">
        <f t="shared" si="25"/>
        <v>---</v>
      </c>
      <c r="AK29" s="24">
        <f>(P29*C29*F29*'Load and Resistance Factors'!$B$6)</f>
        <v>159390</v>
      </c>
      <c r="AL29" s="24" t="str">
        <f>IF(K29=0,"---",IF(L29&gt;=F29,(0.5*P29*(AJ29-C29)*F29*'Load and Resistance Factors'!$B$6),(0.5*P29*(L29*(TAN(RADIANS(K29)))*L29*'Load and Resistance Factors'!$B$6))))</f>
        <v>---</v>
      </c>
      <c r="AM29" s="24" t="str">
        <f>IF(K29=0,"---",IF(L29&gt;=F29,"---",(P29*(L29*(TAN(RADIANS(K29))))*(F29-L29)*'Load and Resistance Factors'!$B$6)))</f>
        <v>---</v>
      </c>
      <c r="AN29" s="24">
        <f>IF(K29=0,Z29*F29*'Load and Resistance Factors'!$D$6,IF(L29&gt;=F29,Z29*F29*'Load and Resistance Factors'!$D$6,AA29*(F29-L29)*'Load and Resistance Factors'!$D$6))</f>
        <v>14437.5</v>
      </c>
      <c r="AO29" s="21">
        <f t="shared" si="26"/>
        <v>0</v>
      </c>
      <c r="AP29" s="24">
        <f t="shared" si="27"/>
        <v>37030</v>
      </c>
      <c r="AQ29" s="24" t="str">
        <f>IF(K29=0,"---",IF(L29&gt;=F29,AP29*M29*'Load and Resistance Factors'!$C$6,AP29*CB29*'Load and Resistance Factors'!$C$6))</f>
        <v>---</v>
      </c>
      <c r="AR29" s="24" t="str">
        <f>IF(K29=0,"---",IF(L29&gt;=F29,AP29*N29*'Load and Resistance Factors'!$C$6,AP29*BZ29*'Load and Resistance Factors'!$C$6))</f>
        <v>---</v>
      </c>
      <c r="AS29" s="24">
        <f t="shared" si="28"/>
        <v>3833.333333333333</v>
      </c>
      <c r="AT29" s="24" t="str">
        <f>IF(K29=0,"---",IF(L29&gt;=F29,AS29*M29*'Load and Resistance Factors'!$E$6,AS29*CB29*'Load and Resistance Factors'!$E$6))</f>
        <v>---</v>
      </c>
      <c r="AU29" s="24" t="str">
        <f>IF(K29=0,"---",IF(L29&gt;=F29,AS29*N29*'Load and Resistance Factors'!$E$6,AS29*BZ29*'Load and Resistance Factors'!$E$6))</f>
        <v>---</v>
      </c>
      <c r="AV29" s="24">
        <f>IF(K29=0,(AP29*'Load and Resistance Factors'!$C$6+AS29*'Load and Resistance Factors'!$E$6),AR29+AU29)</f>
        <v>62253.333333333336</v>
      </c>
      <c r="AW29" s="34">
        <f>'Load and Resistance Factors'!$E$10*AX29*(TAN(RADIANS(W29)))</f>
        <v>92023.85940613445</v>
      </c>
      <c r="AX29" s="24">
        <f t="shared" si="1"/>
        <v>159390</v>
      </c>
      <c r="AY29" s="24">
        <f t="shared" si="2"/>
        <v>173827.5</v>
      </c>
      <c r="AZ29" s="24">
        <f t="shared" si="3"/>
        <v>2629935</v>
      </c>
      <c r="BA29" s="24">
        <f>IF(K29=0,AZ29+(Z29*F29*(F29/2)*'Load and Resistance Factors'!$D$7),IF(L29&gt;=F29,AZ29+(AN29*(F29/2)),AZ29+(AN29*(L29+((F29-L29)/2)))))</f>
        <v>2868153.75</v>
      </c>
      <c r="BB29" s="24">
        <f>IF(K29=0,(AP29*'Load and Resistance Factors'!$C$6*(C29/3))+(AS29*'Load and Resistance Factors'!$E$6*(C29/2)),IF(L29&gt;=F29,(AR29*(AJ29/3))+(AU29*(AJ29/2)),(AR29*(AJ29/3))+(AU29*(AJ29/2))))</f>
        <v>1005981.6666666666</v>
      </c>
      <c r="BC29" s="21">
        <f t="shared" si="4"/>
        <v>6.31144781144781</v>
      </c>
      <c r="BD29" s="21">
        <f t="shared" si="5"/>
        <v>5.787241182590019</v>
      </c>
      <c r="BE29" s="21">
        <f t="shared" si="6"/>
        <v>21.42551763481996</v>
      </c>
      <c r="BF29" s="21">
        <f t="shared" si="29"/>
        <v>8.25</v>
      </c>
      <c r="BG29" s="21">
        <f t="shared" si="30"/>
        <v>30.139627791519086</v>
      </c>
      <c r="BH29" s="21">
        <f t="shared" si="31"/>
        <v>18.401122218708668</v>
      </c>
      <c r="BI29" s="21">
        <f t="shared" si="32"/>
        <v>22.402486271104557</v>
      </c>
      <c r="BJ29" s="22">
        <f t="shared" si="33"/>
        <v>0</v>
      </c>
      <c r="BK29" s="23">
        <f t="shared" si="7"/>
        <v>0.3333333333333333</v>
      </c>
      <c r="BL29" s="4" t="str">
        <f t="shared" si="8"/>
        <v> ---</v>
      </c>
      <c r="BM29" s="25" t="str">
        <f t="shared" si="9"/>
        <v>  --</v>
      </c>
      <c r="BN29" s="21" t="str">
        <f t="shared" si="10"/>
        <v> ---</v>
      </c>
      <c r="BO29" s="27" t="str">
        <f t="shared" si="11"/>
        <v>---</v>
      </c>
      <c r="BP29" s="235">
        <f t="shared" si="12"/>
        <v>0.017453292519943295</v>
      </c>
      <c r="BQ29" s="235">
        <f t="shared" si="13"/>
        <v>0.5773502691896257</v>
      </c>
      <c r="BR29" s="235">
        <f t="shared" si="14"/>
        <v>0</v>
      </c>
      <c r="BS29" s="204" t="s">
        <v>1</v>
      </c>
      <c r="BT29" s="193">
        <f t="shared" si="46"/>
        <v>17</v>
      </c>
      <c r="BU29" s="243">
        <f t="shared" si="34"/>
        <v>0</v>
      </c>
      <c r="BV29" s="243">
        <f t="shared" si="15"/>
        <v>0</v>
      </c>
      <c r="BW29" s="244">
        <f t="shared" si="16"/>
        <v>1</v>
      </c>
      <c r="BX29" s="244">
        <f t="shared" si="35"/>
        <v>1</v>
      </c>
      <c r="BY29" s="245">
        <f t="shared" si="36"/>
        <v>0.7500000000000001</v>
      </c>
      <c r="BZ29" s="244">
        <f t="shared" si="37"/>
        <v>1</v>
      </c>
      <c r="CA29" s="244">
        <f t="shared" si="38"/>
        <v>1</v>
      </c>
      <c r="CB29" s="244">
        <f t="shared" si="39"/>
        <v>0</v>
      </c>
      <c r="CC29" s="162">
        <f t="shared" si="40"/>
        <v>0.4999999999999999</v>
      </c>
      <c r="CD29" s="162">
        <f t="shared" si="41"/>
        <v>0.5000000000000001</v>
      </c>
      <c r="CE29" s="162">
        <f t="shared" si="17"/>
        <v>1.5</v>
      </c>
      <c r="CF29" s="246">
        <f t="shared" si="18"/>
        <v>0.3333333333333334</v>
      </c>
      <c r="CG29" s="162">
        <f t="shared" si="42"/>
        <v>0.4999999999999999</v>
      </c>
      <c r="CH29" s="162">
        <f t="shared" si="43"/>
        <v>0.5000000000000001</v>
      </c>
      <c r="CI29" s="162">
        <f t="shared" si="44"/>
        <v>1.5</v>
      </c>
      <c r="CJ29" s="246">
        <f t="shared" si="45"/>
        <v>0.3333333333333334</v>
      </c>
    </row>
    <row r="30" spans="1:88" ht="15.75">
      <c r="A30" s="45" t="s">
        <v>61</v>
      </c>
      <c r="B30" s="42">
        <v>20</v>
      </c>
      <c r="C30" s="10">
        <f t="shared" si="19"/>
        <v>48</v>
      </c>
      <c r="D30" s="150">
        <f>'INPUT AND RESULTS'!D30</f>
        <v>46</v>
      </c>
      <c r="E30" s="150">
        <f>'INPUT AND RESULTS'!E30</f>
        <v>2</v>
      </c>
      <c r="F30" s="150">
        <f>'INPUT AND RESULTS'!F30</f>
        <v>34</v>
      </c>
      <c r="G30" s="9">
        <f t="shared" si="20"/>
        <v>2.56508875739645</v>
      </c>
      <c r="H30" s="9">
        <f t="shared" si="21"/>
        <v>0.7797001153402537</v>
      </c>
      <c r="I30" s="9">
        <f t="shared" si="22"/>
        <v>1.46613429354378</v>
      </c>
      <c r="J30" s="9">
        <f t="shared" si="23"/>
        <v>1.0744675706531475</v>
      </c>
      <c r="K30" s="150">
        <f>'INPUT AND RESULTS'!L30</f>
        <v>0</v>
      </c>
      <c r="L30" s="43">
        <f>'INPUT AND RESULTS'!M30</f>
        <v>200</v>
      </c>
      <c r="M30" s="151">
        <f>'INPUT AND RESULTS'!N30</f>
        <v>0</v>
      </c>
      <c r="N30" s="151">
        <f>'INPUT AND RESULTS'!O30</f>
        <v>1</v>
      </c>
      <c r="O30" s="150">
        <f>'INPUT AND RESULTS'!P30</f>
        <v>0</v>
      </c>
      <c r="P30" s="150">
        <f>'INPUT AND RESULTS'!Q30</f>
        <v>105</v>
      </c>
      <c r="Q30" s="150">
        <f>'INPUT AND RESULTS'!R30</f>
        <v>105</v>
      </c>
      <c r="R30" s="150">
        <f>'INPUT AND RESULTS'!S30</f>
        <v>30</v>
      </c>
      <c r="S30" s="150">
        <f>'INPUT AND RESULTS'!T30</f>
        <v>0</v>
      </c>
      <c r="T30" s="150">
        <f>'INPUT AND RESULTS'!U30</f>
        <v>105</v>
      </c>
      <c r="U30" s="150">
        <f>'INPUT AND RESULTS'!V30</f>
        <v>30</v>
      </c>
      <c r="V30" s="150">
        <f>'INPUT AND RESULTS'!W30</f>
        <v>0</v>
      </c>
      <c r="W30" s="150">
        <f>'INPUT AND RESULTS'!X30</f>
        <v>30</v>
      </c>
      <c r="X30" s="150">
        <f>'INPUT AND RESULTS'!Y30</f>
        <v>90</v>
      </c>
      <c r="Y30" s="150" t="s">
        <v>187</v>
      </c>
      <c r="Z30" s="150">
        <f>'INPUT AND RESULTS'!AA30</f>
        <v>250</v>
      </c>
      <c r="AA30" s="150">
        <f>'INPUT AND RESULTS'!AB30</f>
        <v>250</v>
      </c>
      <c r="AB30" s="47" t="s">
        <v>61</v>
      </c>
      <c r="AC30" s="49">
        <f t="shared" si="0"/>
        <v>0.5</v>
      </c>
      <c r="AF30" s="82"/>
      <c r="AG30" s="24">
        <f t="shared" si="24"/>
        <v>8541.402497888259</v>
      </c>
      <c r="AH30" s="26">
        <f>V30*BG30*'Load and Resistance Factors'!$E$11+0.5*(F30-2*BD30)*T30*BI30*'Load and Resistance Factors'!$E$11*AC30+T30*E30*BH30*'Load and Resistance Factors'!$E$11</f>
        <v>9177.459991876724</v>
      </c>
      <c r="AI30" s="24">
        <v>19</v>
      </c>
      <c r="AJ30" s="21" t="str">
        <f t="shared" si="25"/>
        <v>---</v>
      </c>
      <c r="AK30" s="24">
        <f>(P30*C30*F30*'Load and Resistance Factors'!$B$6)</f>
        <v>171360</v>
      </c>
      <c r="AL30" s="24" t="str">
        <f>IF(K30=0,"---",IF(L30&gt;=F30,(0.5*P30*(AJ30-C30)*F30*'Load and Resistance Factors'!$B$6),(0.5*P30*(L30*(TAN(RADIANS(K30)))*L30*'Load and Resistance Factors'!$B$6))))</f>
        <v>---</v>
      </c>
      <c r="AM30" s="24" t="str">
        <f>IF(K30=0,"---",IF(L30&gt;=F30,"---",(P30*(L30*(TAN(RADIANS(K30))))*(F30-L30)*'Load and Resistance Factors'!$B$6)))</f>
        <v>---</v>
      </c>
      <c r="AN30" s="24">
        <f>IF(K30=0,Z30*F30*'Load and Resistance Factors'!$D$6,IF(L30&gt;=F30,Z30*F30*'Load and Resistance Factors'!$D$6,AA30*(F30-L30)*'Load and Resistance Factors'!$D$6))</f>
        <v>14875</v>
      </c>
      <c r="AO30" s="21">
        <f t="shared" si="26"/>
        <v>0</v>
      </c>
      <c r="AP30" s="24">
        <f t="shared" si="27"/>
        <v>40320</v>
      </c>
      <c r="AQ30" s="24" t="str">
        <f>IF(K30=0,"---",IF(L30&gt;=F30,AP30*M30*'Load and Resistance Factors'!$C$6,AP30*CB30*'Load and Resistance Factors'!$C$6))</f>
        <v>---</v>
      </c>
      <c r="AR30" s="24" t="str">
        <f>IF(K30=0,"---",IF(L30&gt;=F30,AP30*N30*'Load and Resistance Factors'!$C$6,AP30*BZ30*'Load and Resistance Factors'!$C$6))</f>
        <v>---</v>
      </c>
      <c r="AS30" s="24">
        <f t="shared" si="28"/>
        <v>4000</v>
      </c>
      <c r="AT30" s="24" t="str">
        <f>IF(K30=0,"---",IF(L30&gt;=F30,AS30*M30*'Load and Resistance Factors'!$E$6,AS30*CB30*'Load and Resistance Factors'!$E$6))</f>
        <v>---</v>
      </c>
      <c r="AU30" s="24" t="str">
        <f>IF(K30=0,"---",IF(L30&gt;=F30,AS30*N30*'Load and Resistance Factors'!$E$6,AS30*BZ30*'Load and Resistance Factors'!$E$6))</f>
        <v>---</v>
      </c>
      <c r="AV30" s="24">
        <f>IF(K30=0,(AP30*'Load and Resistance Factors'!$C$6+AS30*'Load and Resistance Factors'!$E$6),AR30+AU30)</f>
        <v>67480</v>
      </c>
      <c r="AW30" s="34">
        <f>'Load and Resistance Factors'!$E$10*AX30*(TAN(RADIANS(W30)))</f>
        <v>98934.74212833427</v>
      </c>
      <c r="AX30" s="24">
        <f t="shared" si="1"/>
        <v>171360</v>
      </c>
      <c r="AY30" s="24">
        <f t="shared" si="2"/>
        <v>186235</v>
      </c>
      <c r="AZ30" s="24">
        <f t="shared" si="3"/>
        <v>2913120</v>
      </c>
      <c r="BA30" s="24">
        <f>IF(K30=0,AZ30+(Z30*F30*(F30/2)*'Load and Resistance Factors'!$D$7),IF(L30&gt;=F30,AZ30+(AN30*(F30/2)),AZ30+(AN30*(L30+((F30-L30)/2)))))</f>
        <v>3165995</v>
      </c>
      <c r="BB30" s="24">
        <f>IF(K30=0,(AP30*'Load and Resistance Factors'!$C$6*(C30/3))+(AS30*'Load and Resistance Factors'!$E$6*(C30/2)),IF(L30&gt;=F30,(AR30*(AJ30/3))+(AU30*(AJ30/2)),(AR30*(AJ30/3))+(AU30*(AJ30/2))))</f>
        <v>1135680</v>
      </c>
      <c r="BC30" s="21">
        <f t="shared" si="4"/>
        <v>6.627450980392156</v>
      </c>
      <c r="BD30" s="21">
        <f t="shared" si="5"/>
        <v>6.098101860552529</v>
      </c>
      <c r="BE30" s="21">
        <f t="shared" si="6"/>
        <v>21.803796278894943</v>
      </c>
      <c r="BF30" s="21">
        <f t="shared" si="29"/>
        <v>8.5</v>
      </c>
      <c r="BG30" s="21">
        <f t="shared" si="30"/>
        <v>30.139627791519086</v>
      </c>
      <c r="BH30" s="21">
        <f t="shared" si="31"/>
        <v>18.401122218708668</v>
      </c>
      <c r="BI30" s="21">
        <f t="shared" si="32"/>
        <v>22.402486271104557</v>
      </c>
      <c r="BJ30" s="22">
        <f t="shared" si="33"/>
        <v>0</v>
      </c>
      <c r="BK30" s="23">
        <f t="shared" si="7"/>
        <v>0.3333333333333333</v>
      </c>
      <c r="BL30" s="5" t="str">
        <f t="shared" si="8"/>
        <v> ---</v>
      </c>
      <c r="BM30" s="25" t="str">
        <f t="shared" si="9"/>
        <v>  --</v>
      </c>
      <c r="BN30" s="21" t="str">
        <f t="shared" si="10"/>
        <v> ---</v>
      </c>
      <c r="BO30" s="27" t="str">
        <f t="shared" si="11"/>
        <v>---</v>
      </c>
      <c r="BP30" s="236">
        <f t="shared" si="12"/>
        <v>0.017453292519943295</v>
      </c>
      <c r="BQ30" s="236">
        <f t="shared" si="13"/>
        <v>0.5773502691896257</v>
      </c>
      <c r="BR30" s="236">
        <f t="shared" si="14"/>
        <v>0</v>
      </c>
      <c r="BS30" s="6" t="s">
        <v>1</v>
      </c>
      <c r="BT30" s="193">
        <f t="shared" si="46"/>
        <v>18</v>
      </c>
      <c r="BU30" s="243">
        <f t="shared" si="34"/>
        <v>0</v>
      </c>
      <c r="BV30" s="243">
        <f t="shared" si="15"/>
        <v>0</v>
      </c>
      <c r="BW30" s="244">
        <f t="shared" si="16"/>
        <v>1</v>
      </c>
      <c r="BX30" s="244">
        <f t="shared" si="35"/>
        <v>1</v>
      </c>
      <c r="BY30" s="245">
        <f t="shared" si="36"/>
        <v>0.7500000000000001</v>
      </c>
      <c r="BZ30" s="244">
        <f t="shared" si="37"/>
        <v>1</v>
      </c>
      <c r="CA30" s="244">
        <f t="shared" si="38"/>
        <v>1</v>
      </c>
      <c r="CB30" s="244">
        <f t="shared" si="39"/>
        <v>0</v>
      </c>
      <c r="CC30" s="162">
        <f t="shared" si="40"/>
        <v>0.4999999999999999</v>
      </c>
      <c r="CD30" s="162">
        <f t="shared" si="41"/>
        <v>0.5000000000000001</v>
      </c>
      <c r="CE30" s="162">
        <f t="shared" si="17"/>
        <v>1.5</v>
      </c>
      <c r="CF30" s="246">
        <f t="shared" si="18"/>
        <v>0.3333333333333334</v>
      </c>
      <c r="CG30" s="162">
        <f t="shared" si="42"/>
        <v>0.4999999999999999</v>
      </c>
      <c r="CH30" s="162">
        <f t="shared" si="43"/>
        <v>0.5000000000000001</v>
      </c>
      <c r="CI30" s="162">
        <f t="shared" si="44"/>
        <v>1.5</v>
      </c>
      <c r="CJ30" s="246">
        <f t="shared" si="45"/>
        <v>0.3333333333333334</v>
      </c>
    </row>
    <row r="31" spans="1:74" ht="15.75">
      <c r="A31" s="45" t="s">
        <v>61</v>
      </c>
      <c r="C31" s="50"/>
      <c r="D31" s="51"/>
      <c r="E31" s="51"/>
      <c r="F31" s="52"/>
      <c r="G31" s="122"/>
      <c r="H31" s="123"/>
      <c r="I31" s="122"/>
      <c r="J31" s="122"/>
      <c r="K31" s="51"/>
      <c r="L31" s="51"/>
      <c r="M31" s="51"/>
      <c r="N31" s="51"/>
      <c r="O31" s="51"/>
      <c r="P31" s="51"/>
      <c r="Q31" s="51"/>
      <c r="R31" s="51"/>
      <c r="T31" s="51"/>
      <c r="U31" s="51"/>
      <c r="V31" s="51"/>
      <c r="W31" s="51"/>
      <c r="X31" s="51"/>
      <c r="Y31" s="124"/>
      <c r="Z31" s="53"/>
      <c r="AA31" s="53"/>
      <c r="AB31" s="47" t="s">
        <v>61</v>
      </c>
      <c r="AF31" s="84"/>
      <c r="AG31" s="84"/>
      <c r="AH31" s="84"/>
      <c r="AI31" s="84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2"/>
      <c r="BL31" s="8"/>
      <c r="BM31" s="2"/>
      <c r="BN31" s="2"/>
      <c r="BO31" s="2"/>
      <c r="BP31" s="192"/>
      <c r="BQ31" s="192"/>
      <c r="BR31" s="192"/>
      <c r="BS31" s="3"/>
      <c r="BT31" s="193">
        <f t="shared" si="46"/>
        <v>19</v>
      </c>
      <c r="BU31" s="237"/>
      <c r="BV31" s="238"/>
    </row>
    <row r="32" spans="1:74" ht="15.75" hidden="1">
      <c r="A32" s="45" t="s">
        <v>61</v>
      </c>
      <c r="B32" s="54" t="s">
        <v>209</v>
      </c>
      <c r="C32" s="55"/>
      <c r="D32" s="56"/>
      <c r="E32" s="56"/>
      <c r="F32" s="55"/>
      <c r="G32" s="125"/>
      <c r="H32" s="126"/>
      <c r="I32" s="127"/>
      <c r="J32" s="127"/>
      <c r="K32" s="57" t="str">
        <f>'INPUT AND RESULTS'!L32</f>
        <v>Yes</v>
      </c>
      <c r="L32" s="47"/>
      <c r="M32" s="47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24"/>
      <c r="Z32" s="53"/>
      <c r="AA32" s="53"/>
      <c r="AB32" s="47" t="s">
        <v>61</v>
      </c>
      <c r="AF32" s="84"/>
      <c r="AG32" s="84"/>
      <c r="AH32" s="84"/>
      <c r="AI32" s="8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8"/>
      <c r="BP32" s="192"/>
      <c r="BQ32" s="192"/>
      <c r="BR32" s="192"/>
      <c r="BS32" s="3"/>
      <c r="BT32" s="193">
        <f t="shared" si="46"/>
        <v>20</v>
      </c>
      <c r="BU32" s="237"/>
      <c r="BV32" s="237"/>
    </row>
    <row r="33" spans="1:74" ht="15.75" hidden="1">
      <c r="A33" s="45"/>
      <c r="B33" s="47"/>
      <c r="D33" s="47"/>
      <c r="E33" s="47"/>
      <c r="F33" s="47"/>
      <c r="K33" s="47"/>
      <c r="L33" s="47"/>
      <c r="M33" s="47"/>
      <c r="N33" s="47"/>
      <c r="O33" s="47"/>
      <c r="S33" s="51"/>
      <c r="T33" s="51"/>
      <c r="U33" s="51"/>
      <c r="V33" s="51"/>
      <c r="W33" s="51"/>
      <c r="X33" s="51"/>
      <c r="Y33" s="124"/>
      <c r="Z33" s="53"/>
      <c r="AA33" s="53"/>
      <c r="AF33" s="84"/>
      <c r="AG33" s="84"/>
      <c r="AH33" s="84"/>
      <c r="AI33" s="84"/>
      <c r="AJ33" s="7"/>
      <c r="AK33" s="7"/>
      <c r="AL33" s="7"/>
      <c r="AM33" s="7"/>
      <c r="BB33" s="7"/>
      <c r="BC33" s="7"/>
      <c r="BD33" s="7"/>
      <c r="BE33" s="7"/>
      <c r="BF33" s="7"/>
      <c r="BG33" s="7"/>
      <c r="BH33" s="7"/>
      <c r="BI33" s="7"/>
      <c r="BJ33" s="8"/>
      <c r="BP33" s="192"/>
      <c r="BQ33" s="192"/>
      <c r="BR33" s="192"/>
      <c r="BS33" s="3"/>
      <c r="BT33" s="193">
        <f t="shared" si="46"/>
        <v>21</v>
      </c>
      <c r="BU33" s="237"/>
      <c r="BV33" s="237"/>
    </row>
    <row r="34" spans="1:74" ht="15.75" hidden="1">
      <c r="A34" s="45"/>
      <c r="B34" s="60"/>
      <c r="C34" s="61"/>
      <c r="D34" s="62"/>
      <c r="E34" s="62"/>
      <c r="F34" s="61"/>
      <c r="G34" s="134"/>
      <c r="H34" s="135"/>
      <c r="I34" s="136"/>
      <c r="J34" s="136"/>
      <c r="K34" s="47"/>
      <c r="L34" s="47"/>
      <c r="M34" s="47"/>
      <c r="N34" s="47"/>
      <c r="O34" s="152"/>
      <c r="P34" s="51"/>
      <c r="Q34" s="51"/>
      <c r="R34" s="51"/>
      <c r="S34" s="51"/>
      <c r="T34" s="51"/>
      <c r="U34" s="51"/>
      <c r="V34" s="51"/>
      <c r="W34" s="51"/>
      <c r="X34" s="51"/>
      <c r="Y34" s="124"/>
      <c r="Z34" s="53"/>
      <c r="AA34" s="53"/>
      <c r="AF34" s="84"/>
      <c r="AG34" s="84"/>
      <c r="AH34" s="84"/>
      <c r="AI34" s="84"/>
      <c r="AJ34" s="7"/>
      <c r="AK34" s="7"/>
      <c r="AL34" s="7"/>
      <c r="AM34" s="7"/>
      <c r="BB34" s="7"/>
      <c r="BC34" s="7"/>
      <c r="BD34" s="7"/>
      <c r="BE34" s="7"/>
      <c r="BF34" s="7"/>
      <c r="BG34" s="7"/>
      <c r="BH34" s="7"/>
      <c r="BI34" s="7"/>
      <c r="BJ34" s="8"/>
      <c r="BN34" s="11"/>
      <c r="BO34" s="11"/>
      <c r="BP34" s="192"/>
      <c r="BQ34" s="192"/>
      <c r="BR34" s="192"/>
      <c r="BS34" s="3"/>
      <c r="BT34" s="193">
        <f t="shared" si="46"/>
        <v>22</v>
      </c>
      <c r="BU34" s="237"/>
      <c r="BV34" s="237"/>
    </row>
    <row r="35" spans="19:74" ht="15">
      <c r="S35" s="51"/>
      <c r="BT35" s="193"/>
      <c r="BU35" s="237"/>
      <c r="BV35" s="237"/>
    </row>
    <row r="36" spans="72:74" ht="12.75">
      <c r="BT36" s="193">
        <f t="shared" si="46"/>
        <v>1</v>
      </c>
      <c r="BU36" s="237"/>
      <c r="BV36" s="237"/>
    </row>
    <row r="37" spans="72:74" ht="12.75">
      <c r="BT37" s="193">
        <f t="shared" si="46"/>
        <v>2</v>
      </c>
      <c r="BU37" s="237"/>
      <c r="BV37" s="237"/>
    </row>
    <row r="38" spans="72:74" ht="12.75">
      <c r="BT38" s="193">
        <f t="shared" si="46"/>
        <v>3</v>
      </c>
      <c r="BU38" s="237"/>
      <c r="BV38" s="237"/>
    </row>
    <row r="39" spans="72:74" ht="12.75">
      <c r="BT39" s="193">
        <f t="shared" si="46"/>
        <v>4</v>
      </c>
      <c r="BU39" s="237"/>
      <c r="BV39" s="237"/>
    </row>
    <row r="40" spans="72:74" ht="12.75">
      <c r="BT40" s="193">
        <f t="shared" si="46"/>
        <v>5</v>
      </c>
      <c r="BU40" s="237"/>
      <c r="BV40" s="237"/>
    </row>
    <row r="41" spans="72:74" ht="12.75">
      <c r="BT41" s="193">
        <f aca="true" t="shared" si="47" ref="BT41:BT54">BT40+1</f>
        <v>6</v>
      </c>
      <c r="BU41" s="237"/>
      <c r="BV41" s="237"/>
    </row>
    <row r="42" spans="72:74" ht="12.75">
      <c r="BT42" s="193">
        <f t="shared" si="47"/>
        <v>7</v>
      </c>
      <c r="BU42" s="237"/>
      <c r="BV42" s="237"/>
    </row>
    <row r="43" spans="72:74" ht="12.75">
      <c r="BT43" s="193">
        <f t="shared" si="47"/>
        <v>8</v>
      </c>
      <c r="BU43" s="237"/>
      <c r="BV43" s="237"/>
    </row>
    <row r="44" spans="72:74" ht="12.75">
      <c r="BT44" s="193">
        <f t="shared" si="47"/>
        <v>9</v>
      </c>
      <c r="BU44" s="237"/>
      <c r="BV44" s="237"/>
    </row>
    <row r="45" spans="72:74" ht="12.75">
      <c r="BT45" s="193">
        <f t="shared" si="47"/>
        <v>10</v>
      </c>
      <c r="BU45" s="237"/>
      <c r="BV45" s="237"/>
    </row>
    <row r="46" spans="72:74" ht="12.75">
      <c r="BT46" s="193">
        <f t="shared" si="47"/>
        <v>11</v>
      </c>
      <c r="BU46" s="237"/>
      <c r="BV46" s="237"/>
    </row>
    <row r="47" spans="72:74" ht="12.75">
      <c r="BT47" s="193">
        <f t="shared" si="47"/>
        <v>12</v>
      </c>
      <c r="BU47" s="237"/>
      <c r="BV47" s="237"/>
    </row>
    <row r="48" spans="72:74" ht="12.75">
      <c r="BT48" s="193">
        <f t="shared" si="47"/>
        <v>13</v>
      </c>
      <c r="BU48" s="237"/>
      <c r="BV48" s="237"/>
    </row>
    <row r="49" spans="72:74" ht="12.75">
      <c r="BT49" s="193">
        <f t="shared" si="47"/>
        <v>14</v>
      </c>
      <c r="BU49" s="237"/>
      <c r="BV49" s="237"/>
    </row>
    <row r="50" spans="72:74" ht="12.75">
      <c r="BT50" s="193">
        <f t="shared" si="47"/>
        <v>15</v>
      </c>
      <c r="BU50" s="237"/>
      <c r="BV50" s="237"/>
    </row>
    <row r="51" spans="72:74" ht="12.75">
      <c r="BT51" s="193">
        <f t="shared" si="47"/>
        <v>16</v>
      </c>
      <c r="BU51" s="237"/>
      <c r="BV51" s="237"/>
    </row>
    <row r="52" spans="72:74" ht="12.75">
      <c r="BT52" s="193">
        <f t="shared" si="47"/>
        <v>17</v>
      </c>
      <c r="BU52" s="237"/>
      <c r="BV52" s="237"/>
    </row>
    <row r="53" spans="72:74" ht="12.75">
      <c r="BT53" s="193">
        <f t="shared" si="47"/>
        <v>18</v>
      </c>
      <c r="BU53" s="237"/>
      <c r="BV53" s="237"/>
    </row>
    <row r="54" spans="72:74" ht="12.75">
      <c r="BT54" s="193">
        <f t="shared" si="47"/>
        <v>19</v>
      </c>
      <c r="BU54" s="237"/>
      <c r="BV54" s="237"/>
    </row>
    <row r="55" spans="72:74" ht="12.75">
      <c r="BT55" s="237"/>
      <c r="BU55" s="237"/>
      <c r="BV55" s="237"/>
    </row>
  </sheetData>
  <sheetProtection password="E372" sheet="1" objects="1" scenarios="1"/>
  <mergeCells count="4">
    <mergeCell ref="B2:AU2"/>
    <mergeCell ref="AV2:BO2"/>
    <mergeCell ref="B3:AU3"/>
    <mergeCell ref="AV3:BO3"/>
  </mergeCells>
  <dataValidations count="1">
    <dataValidation type="list" allowBlank="1" showInputMessage="1" showErrorMessage="1" promptTitle="Yes/No" sqref="K32">
      <formula1>$BT$11:$BT$12</formula1>
    </dataValidation>
  </dataValidations>
  <printOptions horizontalCentered="1" verticalCentered="1"/>
  <pageMargins left="0.25" right="0.25" top="0.5" bottom="0.5" header="0.5" footer="0.5"/>
  <pageSetup horizontalDpi="1200" verticalDpi="1200" orientation="landscape" scale="61" r:id="rId4"/>
  <colBreaks count="1" manualBreakCount="1">
    <brk id="4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J126"/>
  <sheetViews>
    <sheetView view="pageBreakPreview" zoomScaleNormal="75" zoomScaleSheetLayoutView="100" zoomScalePageLayoutView="0" workbookViewId="0" topLeftCell="B1">
      <selection activeCell="H42" sqref="H42"/>
    </sheetView>
  </sheetViews>
  <sheetFormatPr defaultColWidth="9.140625" defaultRowHeight="12.75"/>
  <cols>
    <col min="1" max="1" width="1.7109375" style="47" hidden="1" customWidth="1"/>
    <col min="2" max="2" width="6.7109375" style="45" customWidth="1"/>
    <col min="3" max="3" width="8.7109375" style="47" customWidth="1"/>
    <col min="4" max="6" width="8.7109375" style="108" customWidth="1"/>
    <col min="7" max="7" width="9.8515625" style="47" bestFit="1" customWidth="1"/>
    <col min="8" max="9" width="9.7109375" style="47" bestFit="1" customWidth="1"/>
    <col min="10" max="10" width="10.00390625" style="47" customWidth="1"/>
    <col min="11" max="14" width="8.7109375" style="108" hidden="1" customWidth="1"/>
    <col min="15" max="15" width="7.7109375" style="108" hidden="1" customWidth="1"/>
    <col min="16" max="23" width="9.57421875" style="47" hidden="1" customWidth="1"/>
    <col min="24" max="24" width="8.8515625" style="47" hidden="1" customWidth="1"/>
    <col min="25" max="25" width="9.140625" style="111" hidden="1" customWidth="1"/>
    <col min="26" max="26" width="9.421875" style="47" hidden="1" customWidth="1"/>
    <col min="27" max="27" width="9.140625" style="47" hidden="1" customWidth="1"/>
    <col min="28" max="28" width="9.421875" style="47" hidden="1" customWidth="1"/>
    <col min="29" max="29" width="9.140625" style="107" hidden="1" customWidth="1"/>
    <col min="30" max="30" width="3.140625" style="107" hidden="1" customWidth="1"/>
    <col min="31" max="31" width="4.421875" style="45" hidden="1" customWidth="1"/>
    <col min="32" max="32" width="8.8515625" style="47" hidden="1" customWidth="1"/>
    <col min="33" max="34" width="8.8515625" style="47" customWidth="1"/>
    <col min="35" max="35" width="8.8515625" style="47" hidden="1" customWidth="1"/>
    <col min="36" max="36" width="9.00390625" style="47" customWidth="1"/>
    <col min="37" max="37" width="9.421875" style="47" customWidth="1"/>
    <col min="38" max="43" width="9.00390625" style="47" customWidth="1"/>
    <col min="44" max="44" width="10.28125" style="47" customWidth="1"/>
    <col min="45" max="48" width="9.00390625" style="47" customWidth="1"/>
    <col min="49" max="49" width="11.8515625" style="47" customWidth="1"/>
    <col min="50" max="50" width="9.7109375" style="47" customWidth="1"/>
    <col min="51" max="51" width="10.140625" style="47" customWidth="1"/>
    <col min="52" max="53" width="11.8515625" style="47" customWidth="1"/>
    <col min="54" max="54" width="10.00390625" style="47" bestFit="1" customWidth="1"/>
    <col min="55" max="61" width="9.00390625" style="47" customWidth="1"/>
    <col min="62" max="67" width="9.28125" style="47" customWidth="1"/>
    <col min="68" max="70" width="3.7109375" style="47" hidden="1" customWidth="1"/>
    <col min="71" max="71" width="8.8515625" style="47" hidden="1" customWidth="1"/>
    <col min="72" max="72" width="11.00390625" style="47" hidden="1" customWidth="1"/>
    <col min="73" max="80" width="9.140625" style="47" hidden="1" customWidth="1"/>
    <col min="81" max="81" width="11.28125" style="47" hidden="1" customWidth="1"/>
    <col min="82" max="82" width="9.140625" style="47" hidden="1" customWidth="1"/>
    <col min="83" max="83" width="9.8515625" style="47" hidden="1" customWidth="1"/>
    <col min="84" max="84" width="14.7109375" style="47" hidden="1" customWidth="1"/>
    <col min="85" max="85" width="11.28125" style="47" hidden="1" customWidth="1"/>
    <col min="86" max="87" width="9.140625" style="47" hidden="1" customWidth="1"/>
    <col min="88" max="88" width="14.7109375" style="47" hidden="1" customWidth="1"/>
    <col min="89" max="16384" width="9.140625" style="47" customWidth="1"/>
  </cols>
  <sheetData>
    <row r="1" spans="1:71" ht="12.75">
      <c r="A1" s="45" t="s">
        <v>61</v>
      </c>
      <c r="B1" s="45" t="s">
        <v>61</v>
      </c>
      <c r="C1" s="46" t="s">
        <v>61</v>
      </c>
      <c r="D1" s="105" t="s">
        <v>61</v>
      </c>
      <c r="E1" s="105" t="s">
        <v>61</v>
      </c>
      <c r="F1" s="105" t="s">
        <v>61</v>
      </c>
      <c r="G1" s="46" t="s">
        <v>61</v>
      </c>
      <c r="H1" s="46" t="s">
        <v>61</v>
      </c>
      <c r="I1" s="46" t="s">
        <v>61</v>
      </c>
      <c r="J1" s="46" t="s">
        <v>61</v>
      </c>
      <c r="K1" s="105" t="s">
        <v>61</v>
      </c>
      <c r="L1" s="105"/>
      <c r="M1" s="105"/>
      <c r="N1" s="105"/>
      <c r="O1" s="105" t="s">
        <v>61</v>
      </c>
      <c r="P1" s="46" t="s">
        <v>61</v>
      </c>
      <c r="Q1" s="46" t="s">
        <v>61</v>
      </c>
      <c r="R1" s="46" t="s">
        <v>61</v>
      </c>
      <c r="S1" s="46" t="s">
        <v>61</v>
      </c>
      <c r="T1" s="46" t="s">
        <v>61</v>
      </c>
      <c r="U1" s="46" t="s">
        <v>61</v>
      </c>
      <c r="V1" s="46" t="s">
        <v>61</v>
      </c>
      <c r="W1" s="46" t="s">
        <v>61</v>
      </c>
      <c r="X1" s="46"/>
      <c r="Y1" s="106"/>
      <c r="Z1" s="46" t="s">
        <v>61</v>
      </c>
      <c r="AA1" s="46" t="s">
        <v>61</v>
      </c>
      <c r="AB1" s="195" t="s">
        <v>61</v>
      </c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 t="s">
        <v>0</v>
      </c>
      <c r="BQ1" s="46" t="s">
        <v>0</v>
      </c>
      <c r="BR1" s="46" t="s">
        <v>0</v>
      </c>
      <c r="BS1" s="47" t="s">
        <v>1</v>
      </c>
    </row>
    <row r="2" spans="1:71" ht="15.75">
      <c r="A2" s="45" t="s">
        <v>61</v>
      </c>
      <c r="B2" s="278" t="s">
        <v>293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 t="s">
        <v>293</v>
      </c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  <c r="BS2" s="47" t="s">
        <v>1</v>
      </c>
    </row>
    <row r="3" spans="1:71" ht="15.75">
      <c r="A3" s="45" t="s">
        <v>61</v>
      </c>
      <c r="B3" s="278" t="s">
        <v>286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 t="s">
        <v>286</v>
      </c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  <c r="BS3" s="47" t="s">
        <v>1</v>
      </c>
    </row>
    <row r="4" spans="1:71" ht="18">
      <c r="A4" s="45" t="s">
        <v>61</v>
      </c>
      <c r="I4" s="70"/>
      <c r="J4" s="112"/>
      <c r="K4" s="71"/>
      <c r="L4" s="71"/>
      <c r="M4" s="71"/>
      <c r="N4" s="71"/>
      <c r="O4" s="71"/>
      <c r="P4" s="71"/>
      <c r="Q4" s="71"/>
      <c r="T4" s="199"/>
      <c r="U4" s="199"/>
      <c r="V4" s="71"/>
      <c r="Z4" s="63"/>
      <c r="AB4" s="47" t="s">
        <v>61</v>
      </c>
      <c r="AH4" s="239"/>
      <c r="AQ4" s="240" t="s">
        <v>192</v>
      </c>
      <c r="AR4" s="73"/>
      <c r="AT4" s="240" t="s">
        <v>192</v>
      </c>
      <c r="AU4" s="73"/>
      <c r="BA4" s="239" t="s">
        <v>285</v>
      </c>
      <c r="BL4" s="241"/>
      <c r="BM4" s="199"/>
      <c r="BN4" s="199"/>
      <c r="BO4" s="199"/>
      <c r="BS4" s="47" t="s">
        <v>1</v>
      </c>
    </row>
    <row r="5" spans="1:88" ht="15">
      <c r="A5" s="45" t="s">
        <v>61</v>
      </c>
      <c r="B5" s="48"/>
      <c r="C5" s="6"/>
      <c r="D5" s="200"/>
      <c r="E5" s="200" t="s">
        <v>61</v>
      </c>
      <c r="F5" s="200"/>
      <c r="G5" s="6"/>
      <c r="H5" s="6"/>
      <c r="I5" s="6"/>
      <c r="J5" s="6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6"/>
      <c r="X5" s="6"/>
      <c r="Y5" s="113"/>
      <c r="Z5" s="6"/>
      <c r="AA5" s="6"/>
      <c r="AB5" s="47" t="s">
        <v>61</v>
      </c>
      <c r="AK5" s="203" t="s">
        <v>190</v>
      </c>
      <c r="AL5" s="204"/>
      <c r="AM5" s="204"/>
      <c r="AN5" s="205"/>
      <c r="AQ5" s="68" t="s">
        <v>198</v>
      </c>
      <c r="AR5" s="69"/>
      <c r="AS5" s="3"/>
      <c r="AT5" s="68" t="s">
        <v>199</v>
      </c>
      <c r="AU5" s="69"/>
      <c r="AV5" s="3"/>
      <c r="AW5" s="3"/>
      <c r="AX5" s="3"/>
      <c r="AY5" s="3"/>
      <c r="AZ5" s="3"/>
      <c r="BA5" s="3"/>
      <c r="BL5" s="70"/>
      <c r="BM5" s="71"/>
      <c r="BN5" s="71"/>
      <c r="BO5" s="71"/>
      <c r="BS5" s="47" t="s">
        <v>1</v>
      </c>
      <c r="BW5" s="203" t="s">
        <v>147</v>
      </c>
      <c r="BX5" s="204"/>
      <c r="BY5" s="204"/>
      <c r="BZ5" s="204"/>
      <c r="CA5" s="205"/>
      <c r="CB5" s="204"/>
      <c r="CC5" s="203" t="s">
        <v>203</v>
      </c>
      <c r="CD5" s="204"/>
      <c r="CE5" s="204"/>
      <c r="CF5" s="204"/>
      <c r="CG5" s="203" t="s">
        <v>157</v>
      </c>
      <c r="CH5" s="204"/>
      <c r="CI5" s="204"/>
      <c r="CJ5" s="204"/>
    </row>
    <row r="6" spans="1:88" ht="14.25">
      <c r="A6" s="45" t="s">
        <v>61</v>
      </c>
      <c r="B6" s="35"/>
      <c r="C6" s="36"/>
      <c r="D6" s="206"/>
      <c r="E6" s="12"/>
      <c r="F6" s="206"/>
      <c r="G6" s="36"/>
      <c r="H6" s="36"/>
      <c r="I6" s="36"/>
      <c r="J6" s="36"/>
      <c r="K6" s="206"/>
      <c r="L6" s="206"/>
      <c r="M6" s="206"/>
      <c r="N6" s="206"/>
      <c r="O6" s="207" t="s">
        <v>2</v>
      </c>
      <c r="P6" s="208"/>
      <c r="Q6" s="208"/>
      <c r="R6" s="209" t="s">
        <v>2</v>
      </c>
      <c r="S6" s="208"/>
      <c r="T6" s="208"/>
      <c r="U6" s="209" t="s">
        <v>2</v>
      </c>
      <c r="V6" s="208"/>
      <c r="W6" s="209" t="s">
        <v>7</v>
      </c>
      <c r="X6" s="3"/>
      <c r="Y6" s="115"/>
      <c r="Z6" s="208"/>
      <c r="AA6" s="208"/>
      <c r="AB6" s="47" t="s">
        <v>61</v>
      </c>
      <c r="AC6" s="116"/>
      <c r="AG6" s="36"/>
      <c r="AH6" s="36"/>
      <c r="AI6" s="72"/>
      <c r="AJ6" s="72"/>
      <c r="AK6" s="242"/>
      <c r="AL6" s="242"/>
      <c r="AM6" s="242"/>
      <c r="AN6" s="24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3"/>
      <c r="BH6" s="73"/>
      <c r="BI6" s="73"/>
      <c r="BJ6" s="73"/>
      <c r="BK6" s="74"/>
      <c r="BL6" s="36"/>
      <c r="BM6" s="36"/>
      <c r="BN6" s="75"/>
      <c r="BO6" s="75"/>
      <c r="BP6" s="155"/>
      <c r="BQ6" s="155" t="s">
        <v>3</v>
      </c>
      <c r="BR6" s="155" t="s">
        <v>4</v>
      </c>
      <c r="BS6" s="74" t="s">
        <v>1</v>
      </c>
      <c r="BT6" s="210" t="s">
        <v>142</v>
      </c>
      <c r="BU6" s="211" t="s">
        <v>134</v>
      </c>
      <c r="BV6" s="210" t="s">
        <v>136</v>
      </c>
      <c r="BW6" s="212" t="s">
        <v>143</v>
      </c>
      <c r="BX6" s="154" t="s">
        <v>148</v>
      </c>
      <c r="BY6" s="154" t="s">
        <v>148</v>
      </c>
      <c r="BZ6" s="154" t="s">
        <v>143</v>
      </c>
      <c r="CA6" s="154" t="s">
        <v>148</v>
      </c>
      <c r="CB6" s="154" t="s">
        <v>186</v>
      </c>
      <c r="CC6" s="36" t="s">
        <v>154</v>
      </c>
      <c r="CD6" s="36" t="s">
        <v>200</v>
      </c>
      <c r="CE6" s="36" t="s">
        <v>206</v>
      </c>
      <c r="CF6" s="36" t="s">
        <v>156</v>
      </c>
      <c r="CG6" s="36" t="s">
        <v>154</v>
      </c>
      <c r="CH6" s="36" t="s">
        <v>205</v>
      </c>
      <c r="CI6" s="36" t="s">
        <v>207</v>
      </c>
      <c r="CJ6" s="36" t="s">
        <v>264</v>
      </c>
    </row>
    <row r="7" spans="1:88" ht="12.75">
      <c r="A7" s="45" t="s">
        <v>61</v>
      </c>
      <c r="B7" s="37"/>
      <c r="C7" s="38" t="s">
        <v>61</v>
      </c>
      <c r="D7" s="213" t="s">
        <v>2</v>
      </c>
      <c r="E7" s="13" t="s">
        <v>2</v>
      </c>
      <c r="F7" s="213" t="s">
        <v>2</v>
      </c>
      <c r="G7" s="39" t="s">
        <v>5</v>
      </c>
      <c r="H7" s="39" t="s">
        <v>93</v>
      </c>
      <c r="I7" s="76"/>
      <c r="J7" s="39" t="s">
        <v>6</v>
      </c>
      <c r="K7" s="213" t="s">
        <v>2</v>
      </c>
      <c r="L7" s="213" t="s">
        <v>2</v>
      </c>
      <c r="M7" s="213"/>
      <c r="N7" s="213"/>
      <c r="O7" s="214" t="s">
        <v>87</v>
      </c>
      <c r="P7" s="215" t="s">
        <v>2</v>
      </c>
      <c r="Q7" s="215" t="s">
        <v>2</v>
      </c>
      <c r="R7" s="216" t="s">
        <v>57</v>
      </c>
      <c r="S7" s="215" t="s">
        <v>2</v>
      </c>
      <c r="T7" s="215" t="s">
        <v>2</v>
      </c>
      <c r="U7" s="216" t="s">
        <v>57</v>
      </c>
      <c r="V7" s="215" t="s">
        <v>2</v>
      </c>
      <c r="W7" s="216" t="s">
        <v>57</v>
      </c>
      <c r="X7" s="84" t="s">
        <v>2</v>
      </c>
      <c r="Y7" s="115"/>
      <c r="Z7" s="215" t="s">
        <v>2</v>
      </c>
      <c r="AA7" s="215" t="s">
        <v>2</v>
      </c>
      <c r="AB7" s="47" t="s">
        <v>61</v>
      </c>
      <c r="AC7" s="118"/>
      <c r="AG7" s="76"/>
      <c r="AH7" s="39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78"/>
      <c r="BI7" s="78"/>
      <c r="BJ7" s="78"/>
      <c r="BK7" s="3"/>
      <c r="BL7" s="76"/>
      <c r="BM7" s="76"/>
      <c r="BN7" s="79"/>
      <c r="BO7" s="79"/>
      <c r="BP7" s="84" t="s">
        <v>8</v>
      </c>
      <c r="BQ7" s="84" t="s">
        <v>9</v>
      </c>
      <c r="BR7" s="84" t="s">
        <v>10</v>
      </c>
      <c r="BS7" s="3" t="s">
        <v>1</v>
      </c>
      <c r="BT7" s="86" t="s">
        <v>139</v>
      </c>
      <c r="BU7" s="217" t="s">
        <v>131</v>
      </c>
      <c r="BV7" s="86" t="s">
        <v>137</v>
      </c>
      <c r="BW7" s="218" t="s">
        <v>144</v>
      </c>
      <c r="BX7" s="39" t="s">
        <v>144</v>
      </c>
      <c r="BY7" s="84" t="s">
        <v>145</v>
      </c>
      <c r="BZ7" s="39" t="s">
        <v>146</v>
      </c>
      <c r="CA7" s="82" t="s">
        <v>146</v>
      </c>
      <c r="CB7" s="82" t="s">
        <v>146</v>
      </c>
      <c r="CC7" s="219" t="s">
        <v>155</v>
      </c>
      <c r="CD7" s="76"/>
      <c r="CE7" s="76"/>
      <c r="CF7" s="76"/>
      <c r="CG7" s="219" t="s">
        <v>204</v>
      </c>
      <c r="CH7" s="76"/>
      <c r="CI7" s="76"/>
      <c r="CJ7" s="76"/>
    </row>
    <row r="8" spans="1:88" ht="15.75">
      <c r="A8" s="45" t="s">
        <v>61</v>
      </c>
      <c r="B8" s="37"/>
      <c r="C8" s="39" t="s">
        <v>81</v>
      </c>
      <c r="D8" s="214" t="s">
        <v>11</v>
      </c>
      <c r="E8" s="14" t="s">
        <v>12</v>
      </c>
      <c r="F8" s="214" t="s">
        <v>13</v>
      </c>
      <c r="G8" s="39" t="s">
        <v>14</v>
      </c>
      <c r="H8" s="39" t="s">
        <v>94</v>
      </c>
      <c r="I8" s="39" t="s">
        <v>15</v>
      </c>
      <c r="J8" s="39" t="s">
        <v>107</v>
      </c>
      <c r="K8" s="220" t="s">
        <v>56</v>
      </c>
      <c r="L8" s="220" t="s">
        <v>217</v>
      </c>
      <c r="M8" s="221" t="s">
        <v>184</v>
      </c>
      <c r="N8" s="221" t="s">
        <v>185</v>
      </c>
      <c r="O8" s="214" t="s">
        <v>89</v>
      </c>
      <c r="P8" s="222" t="s">
        <v>90</v>
      </c>
      <c r="Q8" s="222" t="s">
        <v>91</v>
      </c>
      <c r="R8" s="222" t="s">
        <v>16</v>
      </c>
      <c r="S8" s="222" t="s">
        <v>17</v>
      </c>
      <c r="T8" s="222" t="s">
        <v>92</v>
      </c>
      <c r="U8" s="222" t="s">
        <v>18</v>
      </c>
      <c r="V8" s="222" t="s">
        <v>19</v>
      </c>
      <c r="W8" s="222" t="s">
        <v>20</v>
      </c>
      <c r="X8" s="84" t="s">
        <v>21</v>
      </c>
      <c r="Y8" s="223" t="s">
        <v>2</v>
      </c>
      <c r="Z8" s="222" t="s">
        <v>22</v>
      </c>
      <c r="AA8" s="222" t="s">
        <v>23</v>
      </c>
      <c r="AB8" s="47" t="s">
        <v>61</v>
      </c>
      <c r="AC8" s="118"/>
      <c r="AG8" s="39" t="s">
        <v>24</v>
      </c>
      <c r="AH8" s="39" t="s">
        <v>126</v>
      </c>
      <c r="AI8" s="77" t="s">
        <v>125</v>
      </c>
      <c r="AJ8" s="77" t="s">
        <v>163</v>
      </c>
      <c r="AK8" s="77" t="s">
        <v>178</v>
      </c>
      <c r="AL8" s="77" t="s">
        <v>179</v>
      </c>
      <c r="AM8" s="77" t="s">
        <v>180</v>
      </c>
      <c r="AN8" s="77" t="s">
        <v>193</v>
      </c>
      <c r="AO8" s="81" t="s">
        <v>216</v>
      </c>
      <c r="AP8" s="77" t="s">
        <v>160</v>
      </c>
      <c r="AQ8" s="77" t="s">
        <v>162</v>
      </c>
      <c r="AR8" s="77" t="s">
        <v>161</v>
      </c>
      <c r="AS8" s="77" t="s">
        <v>181</v>
      </c>
      <c r="AT8" s="77" t="s">
        <v>182</v>
      </c>
      <c r="AU8" s="77" t="s">
        <v>183</v>
      </c>
      <c r="AV8" s="77" t="s">
        <v>194</v>
      </c>
      <c r="AW8" s="77" t="s">
        <v>195</v>
      </c>
      <c r="AX8" s="77" t="s">
        <v>208</v>
      </c>
      <c r="AY8" s="77" t="s">
        <v>85</v>
      </c>
      <c r="AZ8" s="77" t="s">
        <v>188</v>
      </c>
      <c r="BA8" s="77" t="s">
        <v>219</v>
      </c>
      <c r="BB8" s="77" t="s">
        <v>191</v>
      </c>
      <c r="BC8" s="77" t="s">
        <v>27</v>
      </c>
      <c r="BD8" s="77" t="s">
        <v>86</v>
      </c>
      <c r="BE8" s="77" t="s">
        <v>28</v>
      </c>
      <c r="BF8" s="77" t="s">
        <v>84</v>
      </c>
      <c r="BG8" s="82" t="s">
        <v>29</v>
      </c>
      <c r="BH8" s="82" t="s">
        <v>116</v>
      </c>
      <c r="BI8" s="82" t="s">
        <v>30</v>
      </c>
      <c r="BJ8" s="83" t="s">
        <v>58</v>
      </c>
      <c r="BK8" s="84" t="s">
        <v>25</v>
      </c>
      <c r="BL8" s="85" t="s">
        <v>59</v>
      </c>
      <c r="BM8" s="39" t="s">
        <v>26</v>
      </c>
      <c r="BN8" s="86" t="s">
        <v>130</v>
      </c>
      <c r="BO8" s="86" t="s">
        <v>129</v>
      </c>
      <c r="BP8" s="84" t="s">
        <v>31</v>
      </c>
      <c r="BQ8" s="84" t="s">
        <v>32</v>
      </c>
      <c r="BR8" s="84" t="s">
        <v>33</v>
      </c>
      <c r="BS8" s="3" t="s">
        <v>1</v>
      </c>
      <c r="BT8" s="86" t="s">
        <v>140</v>
      </c>
      <c r="BU8" s="217" t="s">
        <v>132</v>
      </c>
      <c r="BV8" s="86" t="s">
        <v>129</v>
      </c>
      <c r="BW8" s="224"/>
      <c r="BX8" s="76"/>
      <c r="BY8" s="3"/>
      <c r="BZ8" s="76"/>
      <c r="CA8" s="78"/>
      <c r="CB8" s="78"/>
      <c r="CC8" s="76"/>
      <c r="CD8" s="76"/>
      <c r="CE8" s="76"/>
      <c r="CF8" s="76"/>
      <c r="CG8" s="76"/>
      <c r="CH8" s="76"/>
      <c r="CI8" s="76"/>
      <c r="CJ8" s="76"/>
    </row>
    <row r="9" spans="1:88" ht="12.75">
      <c r="A9" s="45" t="s">
        <v>61</v>
      </c>
      <c r="B9" s="37"/>
      <c r="C9" s="39" t="s">
        <v>34</v>
      </c>
      <c r="D9" s="214" t="s">
        <v>34</v>
      </c>
      <c r="E9" s="14" t="s">
        <v>34</v>
      </c>
      <c r="F9" s="214" t="s">
        <v>34</v>
      </c>
      <c r="G9" s="39" t="s">
        <v>83</v>
      </c>
      <c r="H9" s="39" t="s">
        <v>83</v>
      </c>
      <c r="I9" s="39" t="s">
        <v>83</v>
      </c>
      <c r="J9" s="39" t="s">
        <v>83</v>
      </c>
      <c r="K9" s="214" t="s">
        <v>35</v>
      </c>
      <c r="L9" s="214" t="s">
        <v>34</v>
      </c>
      <c r="M9" s="214"/>
      <c r="N9" s="214"/>
      <c r="O9" s="214" t="s">
        <v>34</v>
      </c>
      <c r="P9" s="222" t="s">
        <v>36</v>
      </c>
      <c r="Q9" s="222" t="s">
        <v>36</v>
      </c>
      <c r="R9" s="222" t="s">
        <v>35</v>
      </c>
      <c r="S9" s="222" t="s">
        <v>37</v>
      </c>
      <c r="T9" s="222" t="s">
        <v>36</v>
      </c>
      <c r="U9" s="222" t="s">
        <v>35</v>
      </c>
      <c r="V9" s="222" t="s">
        <v>37</v>
      </c>
      <c r="W9" s="222" t="s">
        <v>35</v>
      </c>
      <c r="X9" s="84" t="s">
        <v>35</v>
      </c>
      <c r="Y9" s="223" t="s">
        <v>38</v>
      </c>
      <c r="Z9" s="222" t="s">
        <v>37</v>
      </c>
      <c r="AA9" s="222" t="s">
        <v>37</v>
      </c>
      <c r="AB9" s="47" t="s">
        <v>61</v>
      </c>
      <c r="AC9" s="118" t="s">
        <v>88</v>
      </c>
      <c r="AG9" s="39" t="s">
        <v>37</v>
      </c>
      <c r="AH9" s="39" t="s">
        <v>37</v>
      </c>
      <c r="AI9" s="77" t="s">
        <v>37</v>
      </c>
      <c r="AJ9" s="77" t="s">
        <v>34</v>
      </c>
      <c r="AK9" s="77" t="s">
        <v>159</v>
      </c>
      <c r="AL9" s="77" t="s">
        <v>159</v>
      </c>
      <c r="AM9" s="77" t="s">
        <v>159</v>
      </c>
      <c r="AN9" s="77" t="s">
        <v>159</v>
      </c>
      <c r="AO9" s="77" t="s">
        <v>35</v>
      </c>
      <c r="AP9" s="77" t="s">
        <v>159</v>
      </c>
      <c r="AQ9" s="77" t="s">
        <v>159</v>
      </c>
      <c r="AR9" s="77" t="s">
        <v>159</v>
      </c>
      <c r="AS9" s="77" t="s">
        <v>159</v>
      </c>
      <c r="AT9" s="77" t="s">
        <v>159</v>
      </c>
      <c r="AU9" s="77" t="s">
        <v>159</v>
      </c>
      <c r="AV9" s="77" t="s">
        <v>159</v>
      </c>
      <c r="AW9" s="77" t="s">
        <v>159</v>
      </c>
      <c r="AX9" s="77" t="s">
        <v>159</v>
      </c>
      <c r="AY9" s="77" t="s">
        <v>159</v>
      </c>
      <c r="AZ9" s="77" t="s">
        <v>189</v>
      </c>
      <c r="BA9" s="77"/>
      <c r="BB9" s="77" t="s">
        <v>189</v>
      </c>
      <c r="BC9" s="77" t="s">
        <v>34</v>
      </c>
      <c r="BD9" s="77" t="s">
        <v>34</v>
      </c>
      <c r="BE9" s="77" t="s">
        <v>34</v>
      </c>
      <c r="BF9" s="77" t="s">
        <v>34</v>
      </c>
      <c r="BG9" s="82" t="s">
        <v>18</v>
      </c>
      <c r="BH9" s="82" t="s">
        <v>18</v>
      </c>
      <c r="BI9" s="82" t="s">
        <v>18</v>
      </c>
      <c r="BJ9" s="82" t="s">
        <v>35</v>
      </c>
      <c r="BK9" s="84" t="s">
        <v>16</v>
      </c>
      <c r="BL9" s="39" t="s">
        <v>35</v>
      </c>
      <c r="BM9" s="39" t="s">
        <v>16</v>
      </c>
      <c r="BN9" s="86" t="s">
        <v>35</v>
      </c>
      <c r="BO9" s="86" t="s">
        <v>16</v>
      </c>
      <c r="BP9" s="84" t="s">
        <v>12</v>
      </c>
      <c r="BQ9" s="84" t="s">
        <v>39</v>
      </c>
      <c r="BR9" s="84" t="s">
        <v>40</v>
      </c>
      <c r="BS9" s="3" t="s">
        <v>1</v>
      </c>
      <c r="BT9" s="86" t="s">
        <v>141</v>
      </c>
      <c r="BU9" s="217" t="s">
        <v>133</v>
      </c>
      <c r="BV9" s="86" t="s">
        <v>138</v>
      </c>
      <c r="BW9" s="225" t="s">
        <v>149</v>
      </c>
      <c r="BX9" s="219" t="s">
        <v>150</v>
      </c>
      <c r="BY9" s="226" t="s">
        <v>151</v>
      </c>
      <c r="BZ9" s="219" t="s">
        <v>152</v>
      </c>
      <c r="CA9" s="227" t="s">
        <v>153</v>
      </c>
      <c r="CB9" s="227"/>
      <c r="CC9" s="76"/>
      <c r="CD9" s="76"/>
      <c r="CE9" s="76"/>
      <c r="CF9" s="39" t="s">
        <v>201</v>
      </c>
      <c r="CG9" s="76"/>
      <c r="CH9" s="76"/>
      <c r="CI9" s="76"/>
      <c r="CJ9" s="39" t="s">
        <v>202</v>
      </c>
    </row>
    <row r="10" spans="1:88" ht="12.75">
      <c r="A10" s="45" t="s">
        <v>61</v>
      </c>
      <c r="B10" s="40"/>
      <c r="C10" s="41" t="s">
        <v>61</v>
      </c>
      <c r="D10" s="228" t="s">
        <v>61</v>
      </c>
      <c r="E10" s="15" t="s">
        <v>61</v>
      </c>
      <c r="F10" s="228" t="s">
        <v>61</v>
      </c>
      <c r="G10" s="41" t="s">
        <v>114</v>
      </c>
      <c r="H10" s="41" t="s">
        <v>115</v>
      </c>
      <c r="I10" s="41" t="s">
        <v>114</v>
      </c>
      <c r="J10" s="41" t="s">
        <v>114</v>
      </c>
      <c r="K10" s="228" t="s">
        <v>61</v>
      </c>
      <c r="L10" s="228"/>
      <c r="M10" s="228"/>
      <c r="N10" s="228"/>
      <c r="O10" s="229" t="s">
        <v>61</v>
      </c>
      <c r="P10" s="230" t="s">
        <v>61</v>
      </c>
      <c r="Q10" s="229" t="s">
        <v>61</v>
      </c>
      <c r="R10" s="230" t="s">
        <v>61</v>
      </c>
      <c r="S10" s="229" t="s">
        <v>61</v>
      </c>
      <c r="T10" s="230" t="s">
        <v>61</v>
      </c>
      <c r="U10" s="229" t="s">
        <v>61</v>
      </c>
      <c r="V10" s="229" t="s">
        <v>61</v>
      </c>
      <c r="W10" s="229" t="s">
        <v>61</v>
      </c>
      <c r="X10" s="231"/>
      <c r="Y10" s="232"/>
      <c r="Z10" s="229" t="s">
        <v>61</v>
      </c>
      <c r="AA10" s="229" t="s">
        <v>61</v>
      </c>
      <c r="AB10" s="47" t="s">
        <v>61</v>
      </c>
      <c r="AC10" s="121"/>
      <c r="AD10" s="104"/>
      <c r="AG10" s="41"/>
      <c r="AH10" s="41"/>
      <c r="AI10" s="88" t="s">
        <v>61</v>
      </c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9"/>
      <c r="BH10" s="89"/>
      <c r="BI10" s="89"/>
      <c r="BJ10" s="89"/>
      <c r="BK10" s="90"/>
      <c r="BL10" s="41"/>
      <c r="BM10" s="41"/>
      <c r="BN10" s="91"/>
      <c r="BO10" s="91"/>
      <c r="BP10" s="90"/>
      <c r="BQ10" s="90"/>
      <c r="BR10" s="90"/>
      <c r="BS10" s="6" t="s">
        <v>1</v>
      </c>
      <c r="BT10" s="91"/>
      <c r="BU10" s="233" t="s">
        <v>135</v>
      </c>
      <c r="BV10" s="91" t="s">
        <v>158</v>
      </c>
      <c r="BW10" s="68"/>
      <c r="BX10" s="234"/>
      <c r="BY10" s="6"/>
      <c r="BZ10" s="234"/>
      <c r="CA10" s="69"/>
      <c r="CB10" s="69"/>
      <c r="CC10" s="234"/>
      <c r="CD10" s="234"/>
      <c r="CE10" s="234"/>
      <c r="CF10" s="234"/>
      <c r="CG10" s="234"/>
      <c r="CH10" s="234"/>
      <c r="CI10" s="234"/>
      <c r="CJ10" s="234"/>
    </row>
    <row r="11" spans="1:88" ht="15.75">
      <c r="A11" s="45" t="s">
        <v>61</v>
      </c>
      <c r="B11" s="42">
        <v>1</v>
      </c>
      <c r="C11" s="10">
        <f aca="true" t="shared" si="0" ref="C11:C30">D11+E11</f>
        <v>10</v>
      </c>
      <c r="D11" s="150">
        <f>'INPUT AND RESULTS'!D11</f>
        <v>8</v>
      </c>
      <c r="E11" s="150">
        <f>'INPUT AND RESULTS'!E11</f>
        <v>2</v>
      </c>
      <c r="F11" s="150">
        <f>'INPUT AND RESULTS'!F11</f>
        <v>8</v>
      </c>
      <c r="G11" s="9">
        <f aca="true" t="shared" si="1" ref="G11:G30">AZ11/BB11</f>
        <v>2.8276363636363637</v>
      </c>
      <c r="H11" s="9">
        <f aca="true" t="shared" si="2" ref="H11:H30">BC11/BF11</f>
        <v>0.707304526748971</v>
      </c>
      <c r="I11" s="9">
        <f aca="true" t="shared" si="3" ref="I11:I30">AW11/AV11</f>
        <v>1.603384176149475</v>
      </c>
      <c r="J11" s="9">
        <f>AH11/AG11</f>
        <v>1.5789347948065402</v>
      </c>
      <c r="K11" s="150">
        <f>'INPUT AND RESULTS'!L11</f>
        <v>0</v>
      </c>
      <c r="L11" s="43">
        <f>'INPUT AND RESULTS'!M11</f>
        <v>200</v>
      </c>
      <c r="M11" s="151">
        <f>'INPUT AND RESULTS'!N11</f>
        <v>0</v>
      </c>
      <c r="N11" s="151">
        <f>'INPUT AND RESULTS'!O11</f>
        <v>1</v>
      </c>
      <c r="O11" s="150">
        <f>'INPUT AND RESULTS'!P11</f>
        <v>0</v>
      </c>
      <c r="P11" s="150">
        <f>'INPUT AND RESULTS'!Q11</f>
        <v>105</v>
      </c>
      <c r="Q11" s="150">
        <f>'INPUT AND RESULTS'!R11</f>
        <v>105</v>
      </c>
      <c r="R11" s="150">
        <f>'INPUT AND RESULTS'!S11</f>
        <v>30</v>
      </c>
      <c r="S11" s="150">
        <f>'INPUT AND RESULTS'!T11</f>
        <v>0</v>
      </c>
      <c r="T11" s="150">
        <f>'INPUT AND RESULTS'!U11</f>
        <v>105</v>
      </c>
      <c r="U11" s="150">
        <f>'INPUT AND RESULTS'!V11</f>
        <v>30</v>
      </c>
      <c r="V11" s="150">
        <f>'INPUT AND RESULTS'!W11</f>
        <v>0</v>
      </c>
      <c r="W11" s="150">
        <f>'INPUT AND RESULTS'!X11</f>
        <v>30</v>
      </c>
      <c r="X11" s="150">
        <f>'INPUT AND RESULTS'!Y11</f>
        <v>90</v>
      </c>
      <c r="Y11" s="150" t="str">
        <f>'INPUT AND RESULTS'!Z11</f>
        <v>i</v>
      </c>
      <c r="Z11" s="150">
        <f>'INPUT AND RESULTS'!AA11</f>
        <v>250</v>
      </c>
      <c r="AA11" s="150">
        <f>'INPUT AND RESULTS'!AB11</f>
        <v>250</v>
      </c>
      <c r="AB11" s="47" t="s">
        <v>61</v>
      </c>
      <c r="AC11" s="49">
        <f aca="true" t="shared" si="4" ref="AC11:AC30">IF(O11&gt;(1.5*F11),1,0.5+O11/3/F11)</f>
        <v>0.5</v>
      </c>
      <c r="AF11" s="104"/>
      <c r="AG11" s="24">
        <f aca="true" t="shared" si="5" ref="AG11:AG30">AY11/(F11-2*BD11)</f>
        <v>2541.9445192566654</v>
      </c>
      <c r="AH11" s="26">
        <f>V11*BG11*'Load and Resistance Factors'!$E$11+0.5*(F11-2*BD11)*T11*BI11*'Load and Resistance Factors'!$E$11*AC11+T11*E11*BH11*'Load and Resistance Factors'!$E$11</f>
        <v>4013.5646479221323</v>
      </c>
      <c r="AI11" s="24">
        <v>0</v>
      </c>
      <c r="AJ11" s="21" t="str">
        <f aca="true" t="shared" si="6" ref="AJ11:AJ30">IF(K11=0,"---",IF(L11&gt;=F11,C11+(F11*(TAN(RADIANS(K11)))),(C11+(L11*(TAN(RADIANS(K11)))))))</f>
        <v>---</v>
      </c>
      <c r="AK11" s="24">
        <f>(P11*C11*F11*'Load and Resistance Factors'!$B$7)</f>
        <v>11340</v>
      </c>
      <c r="AL11" s="24" t="str">
        <f>IF(K11=0,"---",IF(L11&gt;=F11,(0.5*P11*(AJ11-C11)*F11*'Load and Resistance Factors'!$B$7),(0.5*P11*(L11*(TAN(RADIANS(K11)))*L11*'Load and Resistance Factors'!$B$7))))</f>
        <v>---</v>
      </c>
      <c r="AM11" s="24" t="str">
        <f>IF(K11=0,"---",IF(L11&gt;=F11,"---",(P11*(L11*(TAN(RADIANS(K11))))*(F11-L11)*'Load and Resistance Factors'!$B$7)))</f>
        <v>---</v>
      </c>
      <c r="AN11" s="24">
        <f>IF(K11=0,Z11*F11*'Load and Resistance Factors'!$D$6,IF(L11&gt;=F11,Z11*F11*'Load and Resistance Factors'!$D$6,AA11*(F11-L11)*'Load and Resistance Factors'!$D$6))</f>
        <v>3500</v>
      </c>
      <c r="AO11" s="21">
        <f aca="true" t="shared" si="7" ref="AO11:AO30">BV11</f>
        <v>0</v>
      </c>
      <c r="AP11" s="24">
        <f>IF(K11=0,0.5*Q11*C11*C11*BK11,IF(L11&gt;=F11,0.5*Q11*AJ11*AJ11*BM11,0.5*Q11*AJ11*AJ11*CJ11))</f>
        <v>1750</v>
      </c>
      <c r="AQ11" s="24" t="str">
        <f>IF(K11=0,"---",IF(L11&gt;=F11,AP11*M11*'Load and Resistance Factors'!$C$7,AP11*CB11*'Load and Resistance Factors'!$C$7))</f>
        <v>---</v>
      </c>
      <c r="AR11" s="24" t="str">
        <f>IF(K11=0,"---",IF(L11&gt;=F11,AP11*N11*'Load and Resistance Factors'!$C$7,AP11*BZ11*'Load and Resistance Factors'!$C$7))</f>
        <v>---</v>
      </c>
      <c r="AS11" s="24">
        <f aca="true" t="shared" si="8" ref="AS11:AS30">IF(K11=0,AA11*C11*BK11,IF(L11&gt;=F11,AA11*AJ11*BM11,AA11*AJ11*CJ11))</f>
        <v>833.3333333333333</v>
      </c>
      <c r="AT11" s="24" t="str">
        <f>IF(K11=0,"---",IF(L11&gt;=F11,AS11*M11*'Load and Resistance Factors'!$E$7,AS11*CB11*'Load and Resistance Factors'!$E$7))</f>
        <v>---</v>
      </c>
      <c r="AU11" s="24" t="str">
        <f>IF(K11=0,"---",IF(L11&gt;=F11,AS11*N11*'Load and Resistance Factors'!$E$7,AS11*BZ11*'Load and Resistance Factors'!$E$7))</f>
        <v>---</v>
      </c>
      <c r="AV11" s="24">
        <f>IF(K11=0,(AP11*'Load and Resistance Factors'!$C$7+AS11*'Load and Resistance Factors'!$E$7),AR11+AU11)</f>
        <v>4083.333333333333</v>
      </c>
      <c r="AW11" s="34">
        <f>'Load and Resistance Factors'!$E$10*AX11*(TAN(RADIANS(W11)))</f>
        <v>6547.152052610356</v>
      </c>
      <c r="AX11" s="24">
        <f aca="true" t="shared" si="9" ref="AX11:AX30">IF(K11=0,AK11,IF(L11&gt;=F11,AK11+AL11+AQ11+AT11,AK11+AL11+AM11+AQ11))</f>
        <v>11340</v>
      </c>
      <c r="AY11" s="24">
        <f aca="true" t="shared" si="10" ref="AY11:AY30">IF(K11=0,AK11+AN11,IF(L11&gt;=F11,(AK11)+(AL11)+AQ11+AT11+AN11,(AK11)+(AL11)+(AM11)+AN11+AQ11+AT11))</f>
        <v>14840</v>
      </c>
      <c r="AZ11" s="24">
        <f aca="true" t="shared" si="11" ref="AZ11:AZ30">IF(K11=0,AK11*(F11/2),IF(L11&gt;=F11,AK11*(F11/2)+(AL11*(2/3)*F11)+(AQ11*F11)+(AT11*F11),AK11*(F11/2)+(AL11*(2/3)*L11)+AM11*(L11+(0.5*(F11-L11)))+AQ11*F11+AT11*F11))</f>
        <v>45360</v>
      </c>
      <c r="BA11" s="24">
        <f>IF(K11=0,AZ11+(Z11*F11*(F11/2)*'Load and Resistance Factors'!$D$7),IF(L11&gt;=F11,AZ11+(AN11*(F11/2)),AZ11+(AN11*(L11+((F11-L11)/2)))))</f>
        <v>59360</v>
      </c>
      <c r="BB11" s="24">
        <f>IF(K11=0,(AP11*'Load and Resistance Factors'!$C$7*(C11/3))+(AS11*'Load and Resistance Factors'!$E$7*(C11/2)),IF(L11&gt;=F11,(AR11*(AJ11/3))+(AU11*(AJ11/2)),(AR11*(AJ11/3))+(AU11*(AJ11/2))))</f>
        <v>16041.666666666666</v>
      </c>
      <c r="BC11" s="21">
        <f aca="true" t="shared" si="12" ref="BC11:BC30">(F11/2)-((AZ11-BB11)/AX11)</f>
        <v>1.414609053497942</v>
      </c>
      <c r="BD11" s="21">
        <f aca="true" t="shared" si="13" ref="BD11:BD30">(F11/2)-((BA11-BB11)/AY11)</f>
        <v>1.0809748427672954</v>
      </c>
      <c r="BE11" s="21">
        <f aca="true" t="shared" si="14" ref="BE11:BE30">F11-(2*BD11)</f>
        <v>5.838050314465409</v>
      </c>
      <c r="BF11" s="21">
        <f aca="true" t="shared" si="15" ref="BF11:BF30">F11/4</f>
        <v>2</v>
      </c>
      <c r="BG11" s="21">
        <f aca="true" t="shared" si="16" ref="BG11:BG30">IF(U11=0,5.14,(((EXP(PI()*TAN(U11*PI()/180)))*(TAN(PI()/4+(U11*PI()/180)/2))^2)-1)*(1/(TAN(U11*PI()/180))))</f>
        <v>30.139627791519086</v>
      </c>
      <c r="BH11" s="21">
        <f aca="true" t="shared" si="17" ref="BH11:BH30">((EXP(PI()*TAN(U11*PI()/180)))*(TAN(PI()/4+(U11*PI()/180)/2))^2)</f>
        <v>18.401122218708668</v>
      </c>
      <c r="BI11" s="21">
        <f aca="true" t="shared" si="18" ref="BI11:BI30">(((EXP(PI()*TAN(U11*PI()/180)))*(TAN(PI()/4+(U11*PI()/180)/2))^2)+1)*2*(TAN(1*PI()/180*U11))</f>
        <v>22.402486271104557</v>
      </c>
      <c r="BJ11" s="22">
        <f aca="true" t="shared" si="19" ref="BJ11:BJ30">IF(K11=0,0,"---")</f>
        <v>0</v>
      </c>
      <c r="BK11" s="23">
        <f aca="true" t="shared" si="20" ref="BK11:BK30">IF(K11=0,IF(BJ11=0,(TAN(BP11*(45-R11/2)))^2,(((SIN((X11-R11)*BP11))/(SIN(X11*BP11)))/((SQRT(SIN((X11+BJ11)*BP11)))+(SQRT((SIN((R11+BJ11)*BP11))*(SIN((R11-K11)*BP11))/(SIN((X11-K11)*BP11))))))^2),"---")</f>
        <v>0.3333333333333333</v>
      </c>
      <c r="BL11" s="1" t="str">
        <f aca="true" t="shared" si="21" ref="BL11:BL30">IF(K11=0," ---",IF(Y11="I",K11,IF((1-K11/R11)*(F11/(D11+E11)-0.2)&gt;1,0,R11*(1-((1-(K11/R11))*(F11/(D11+E11)-0.2))))))</f>
        <v> ---</v>
      </c>
      <c r="BM11" s="25" t="str">
        <f aca="true" t="shared" si="22" ref="BM11:BM30">IF(K11=0,"  --",(((SIN((X11-R11)*BP11))/(SIN(X11*BP11)))/((SQRT(SIN((X11+BL11)*BP11)))+(SQRT((SIN((R11+BL11)*BP11))*(SIN((R11-K11)*BP11))/(SIN((X11-K11)*BP11))))))^2)</f>
        <v>  --</v>
      </c>
      <c r="BN11" s="21" t="str">
        <f aca="true" t="shared" si="23" ref="BN11:BN30">IF(L11&lt;(2*C11),BV11,BL11)</f>
        <v> ---</v>
      </c>
      <c r="BO11" s="27" t="str">
        <f aca="true" t="shared" si="24" ref="BO11:BO30">IF(K11=0,"---",IF(L11&gt;=2*C11,"---",CJ11))</f>
        <v>---</v>
      </c>
      <c r="BP11" s="192">
        <f aca="true" t="shared" si="25" ref="BP11:BP30">PI()/180</f>
        <v>0.017453292519943295</v>
      </c>
      <c r="BQ11" s="192">
        <f aca="true" t="shared" si="26" ref="BQ11:BQ30">TAN(W11*BP11)</f>
        <v>0.5773502691896257</v>
      </c>
      <c r="BR11" s="192">
        <f aca="true" t="shared" si="27" ref="BR11:BR30">IF(K11&gt;0,"----",SIN(BJ11*BP11))</f>
        <v>0</v>
      </c>
      <c r="BS11" s="3" t="s">
        <v>1</v>
      </c>
      <c r="BT11" s="193" t="s">
        <v>127</v>
      </c>
      <c r="BU11" s="243">
        <f>L11*TAN(RADIANS(K11))</f>
        <v>0</v>
      </c>
      <c r="BV11" s="243">
        <f aca="true" t="shared" si="28" ref="BV11:BV30">IF(DEGREES(ATAN(BU11/(2*C11)))&gt;K11,K11,DEGREES(ATAN(BU11/(2*C11))))</f>
        <v>0</v>
      </c>
      <c r="BW11" s="244">
        <f aca="true" t="shared" si="29" ref="BW11:BW30">COS(RADIANS(K11))</f>
        <v>1</v>
      </c>
      <c r="BX11" s="244">
        <f aca="true" t="shared" si="30" ref="BX11:BX30">BW11^2</f>
        <v>1</v>
      </c>
      <c r="BY11" s="245">
        <f aca="true" t="shared" si="31" ref="BY11:BY30">(COS(RADIANS(R11)))^2</f>
        <v>0.7500000000000001</v>
      </c>
      <c r="BZ11" s="244">
        <f aca="true" t="shared" si="32" ref="BZ11:BZ30">COS(RADIANS(BV11))</f>
        <v>1</v>
      </c>
      <c r="CA11" s="244">
        <f aca="true" t="shared" si="33" ref="CA11:CA30">BZ11^2</f>
        <v>1</v>
      </c>
      <c r="CB11" s="244">
        <f aca="true" t="shared" si="34" ref="CB11:CB30">SIN(RADIANS(BV11))</f>
        <v>0</v>
      </c>
      <c r="CC11" s="162">
        <f aca="true" t="shared" si="35" ref="CC11:CC30">(BX11-BY11)^0.5</f>
        <v>0.4999999999999999</v>
      </c>
      <c r="CD11" s="162">
        <f aca="true" t="shared" si="36" ref="CD11:CD30">BW11-CC11</f>
        <v>0.5000000000000001</v>
      </c>
      <c r="CE11" s="162">
        <f aca="true" t="shared" si="37" ref="CE11:CE30">BW11+CC11</f>
        <v>1.5</v>
      </c>
      <c r="CF11" s="246">
        <f aca="true" t="shared" si="38" ref="CF11:CF30">BW11*(CD11/CE11)</f>
        <v>0.3333333333333334</v>
      </c>
      <c r="CG11" s="162">
        <f aca="true" t="shared" si="39" ref="CG11:CG30">(CA11-BY11)^0.5</f>
        <v>0.4999999999999999</v>
      </c>
      <c r="CH11" s="162">
        <f aca="true" t="shared" si="40" ref="CH11:CH30">BZ11-CG11</f>
        <v>0.5000000000000001</v>
      </c>
      <c r="CI11" s="162">
        <f aca="true" t="shared" si="41" ref="CI11:CI30">BZ11+CG11</f>
        <v>1.5</v>
      </c>
      <c r="CJ11" s="246">
        <f aca="true" t="shared" si="42" ref="CJ11:CJ30">BZ11*(CH11/CI11)</f>
        <v>0.3333333333333334</v>
      </c>
    </row>
    <row r="12" spans="1:88" ht="15.75">
      <c r="A12" s="45" t="s">
        <v>61</v>
      </c>
      <c r="B12" s="42">
        <v>2</v>
      </c>
      <c r="C12" s="10">
        <f t="shared" si="0"/>
        <v>12</v>
      </c>
      <c r="D12" s="150">
        <f>'INPUT AND RESULTS'!D12</f>
        <v>10</v>
      </c>
      <c r="E12" s="150">
        <f>'INPUT AND RESULTS'!E12</f>
        <v>2</v>
      </c>
      <c r="F12" s="150">
        <f>'INPUT AND RESULTS'!F12</f>
        <v>9</v>
      </c>
      <c r="G12" s="9">
        <f t="shared" si="1"/>
        <v>2.6889344262295087</v>
      </c>
      <c r="H12" s="9">
        <f t="shared" si="2"/>
        <v>0.7437890565462578</v>
      </c>
      <c r="I12" s="9">
        <f t="shared" si="3"/>
        <v>1.59831017559204</v>
      </c>
      <c r="J12" s="9">
        <f aca="true" t="shared" si="43" ref="J12:J30">AH12/AG12</f>
        <v>1.3748451144006146</v>
      </c>
      <c r="K12" s="150">
        <f>'INPUT AND RESULTS'!L12</f>
        <v>0</v>
      </c>
      <c r="L12" s="43">
        <f>'INPUT AND RESULTS'!M12</f>
        <v>200</v>
      </c>
      <c r="M12" s="151">
        <f>'INPUT AND RESULTS'!N12</f>
        <v>0</v>
      </c>
      <c r="N12" s="151">
        <f>'INPUT AND RESULTS'!O12</f>
        <v>1</v>
      </c>
      <c r="O12" s="150">
        <f>'INPUT AND RESULTS'!P12</f>
        <v>0</v>
      </c>
      <c r="P12" s="150">
        <f>'INPUT AND RESULTS'!Q12</f>
        <v>105</v>
      </c>
      <c r="Q12" s="150">
        <f>'INPUT AND RESULTS'!R12</f>
        <v>105</v>
      </c>
      <c r="R12" s="150">
        <f>'INPUT AND RESULTS'!S12</f>
        <v>30</v>
      </c>
      <c r="S12" s="150">
        <f>'INPUT AND RESULTS'!T12</f>
        <v>0</v>
      </c>
      <c r="T12" s="150">
        <f>'INPUT AND RESULTS'!U12</f>
        <v>105</v>
      </c>
      <c r="U12" s="150">
        <f>'INPUT AND RESULTS'!V12</f>
        <v>30</v>
      </c>
      <c r="V12" s="150">
        <f>'INPUT AND RESULTS'!W12</f>
        <v>0</v>
      </c>
      <c r="W12" s="150">
        <f>'INPUT AND RESULTS'!X12</f>
        <v>30</v>
      </c>
      <c r="X12" s="150">
        <f>'INPUT AND RESULTS'!Y12</f>
        <v>90</v>
      </c>
      <c r="Y12" s="150" t="str">
        <f>'INPUT AND RESULTS'!Z12</f>
        <v>I</v>
      </c>
      <c r="Z12" s="150">
        <f>'INPUT AND RESULTS'!AA12</f>
        <v>250</v>
      </c>
      <c r="AA12" s="150">
        <f>'INPUT AND RESULTS'!AB12</f>
        <v>250</v>
      </c>
      <c r="AB12" s="47" t="s">
        <v>61</v>
      </c>
      <c r="AC12" s="49">
        <f t="shared" si="4"/>
        <v>0.5</v>
      </c>
      <c r="AF12" s="104"/>
      <c r="AG12" s="24">
        <f t="shared" si="5"/>
        <v>3036.8283119566145</v>
      </c>
      <c r="AH12" s="26">
        <f>V12*BG12*'Load and Resistance Factors'!$E$11+0.5*(F12-2*BD12)*T12*BI12*'Load and Resistance Factors'!$E$11*AC12+T12*E12*BH12*'Load and Resistance Factors'!$E$11</f>
        <v>4175.168567967017</v>
      </c>
      <c r="AI12" s="24">
        <v>0</v>
      </c>
      <c r="AJ12" s="21" t="str">
        <f t="shared" si="6"/>
        <v>---</v>
      </c>
      <c r="AK12" s="24">
        <f>(P12*C12*F12*'Load and Resistance Factors'!$B$7)</f>
        <v>15309.000000000002</v>
      </c>
      <c r="AL12" s="24" t="str">
        <f>IF(K12=0,"---",IF(L12&gt;=F12,(0.5*P12*(AJ12-C12)*F12*'Load and Resistance Factors'!$B$7),(0.5*P12*(L12*(TAN(RADIANS(K12)))*L12*'Load and Resistance Factors'!$B$7))))</f>
        <v>---</v>
      </c>
      <c r="AM12" s="24" t="str">
        <f>IF(K12=0,"---",IF(L12&gt;=F12,"---",(P12*(L12*(TAN(RADIANS(K12))))*(F12-L12)*'Load and Resistance Factors'!$B$7)))</f>
        <v>---</v>
      </c>
      <c r="AN12" s="24">
        <f>IF(K12=0,Z12*F12*'Load and Resistance Factors'!$D$6,IF(L12&gt;=F12,Z12*F12*'Load and Resistance Factors'!$D$6,AA12*(F12-L12)*'Load and Resistance Factors'!$D$6))</f>
        <v>3937.5</v>
      </c>
      <c r="AO12" s="21">
        <f t="shared" si="7"/>
        <v>0</v>
      </c>
      <c r="AP12" s="24">
        <f aca="true" t="shared" si="44" ref="AP12:AP30">IF(K12=0,0.5*Q12*C12*C12*BK12,IF(L12&gt;=F12,0.5*Q12*AJ12*AJ12*BM12,0.5*Q12*AJ12*AJ12*CJ12))</f>
        <v>2520</v>
      </c>
      <c r="AQ12" s="24" t="str">
        <f>IF(K12=0,"---",IF(L12&gt;=F12,AP12*M12*'Load and Resistance Factors'!$C$7,AP12*CB12*'Load and Resistance Factors'!$C$7))</f>
        <v>---</v>
      </c>
      <c r="AR12" s="24" t="str">
        <f>IF(K12=0,"---",IF(L12&gt;=F12,AP12*N12*'Load and Resistance Factors'!$C$7,AP12*BZ12*'Load and Resistance Factors'!$C$7))</f>
        <v>---</v>
      </c>
      <c r="AS12" s="24">
        <f t="shared" si="8"/>
        <v>1000</v>
      </c>
      <c r="AT12" s="24" t="str">
        <f>IF(K12=0,"---",IF(L12&gt;=F12,AS12*M12*'Load and Resistance Factors'!$E$7,AS12*CB12*'Load and Resistance Factors'!$E$7))</f>
        <v>---</v>
      </c>
      <c r="AU12" s="24" t="str">
        <f>IF(K12=0,"---",IF(L12&gt;=F12,AS12*N12*'Load and Resistance Factors'!$E$7,AS12*BZ12*'Load and Resistance Factors'!$E$7))</f>
        <v>---</v>
      </c>
      <c r="AV12" s="24">
        <f>IF(K12=0,(AP12*'Load and Resistance Factors'!$C$7+AS12*'Load and Resistance Factors'!$E$7),AR12+AU12)</f>
        <v>5530</v>
      </c>
      <c r="AW12" s="34">
        <f>'Load and Resistance Factors'!$E$10*AX12*(TAN(RADIANS(W12)))</f>
        <v>8838.655271023981</v>
      </c>
      <c r="AX12" s="24">
        <f t="shared" si="9"/>
        <v>15309.000000000002</v>
      </c>
      <c r="AY12" s="24">
        <f t="shared" si="10"/>
        <v>19246.5</v>
      </c>
      <c r="AZ12" s="24">
        <f t="shared" si="11"/>
        <v>68890.50000000001</v>
      </c>
      <c r="BA12" s="24">
        <f>IF(K12=0,AZ12+(Z12*F12*(F12/2)*'Load and Resistance Factors'!$D$7),IF(L12&gt;=F12,AZ12+(AN12*(F12/2)),AZ12+(AN12*(L12+((F12-L12)/2)))))</f>
        <v>86609.25000000001</v>
      </c>
      <c r="BB12" s="24">
        <f>IF(K12=0,(AP12*'Load and Resistance Factors'!$C$7*(C12/3))+(AS12*'Load and Resistance Factors'!$E$7*(C12/2)),IF(L12&gt;=F12,(AR12*(AJ12/3))+(AU12*(AJ12/2)),(AR12*(AJ12/3))+(AU12*(AJ12/2))))</f>
        <v>25620</v>
      </c>
      <c r="BC12" s="21">
        <f t="shared" si="12"/>
        <v>1.6735253772290801</v>
      </c>
      <c r="BD12" s="21">
        <f t="shared" si="13"/>
        <v>1.33115111838516</v>
      </c>
      <c r="BE12" s="21">
        <f t="shared" si="14"/>
        <v>6.33769776322968</v>
      </c>
      <c r="BF12" s="21">
        <f t="shared" si="15"/>
        <v>2.25</v>
      </c>
      <c r="BG12" s="21">
        <f t="shared" si="16"/>
        <v>30.139627791519086</v>
      </c>
      <c r="BH12" s="21">
        <f t="shared" si="17"/>
        <v>18.401122218708668</v>
      </c>
      <c r="BI12" s="21">
        <f t="shared" si="18"/>
        <v>22.402486271104557</v>
      </c>
      <c r="BJ12" s="22">
        <f t="shared" si="19"/>
        <v>0</v>
      </c>
      <c r="BK12" s="23">
        <f t="shared" si="20"/>
        <v>0.3333333333333333</v>
      </c>
      <c r="BL12" s="4" t="str">
        <f t="shared" si="21"/>
        <v> ---</v>
      </c>
      <c r="BM12" s="25" t="str">
        <f t="shared" si="22"/>
        <v>  --</v>
      </c>
      <c r="BN12" s="21" t="str">
        <f t="shared" si="23"/>
        <v> ---</v>
      </c>
      <c r="BO12" s="27" t="str">
        <f t="shared" si="24"/>
        <v>---</v>
      </c>
      <c r="BP12" s="235">
        <f t="shared" si="25"/>
        <v>0.017453292519943295</v>
      </c>
      <c r="BQ12" s="235">
        <f t="shared" si="26"/>
        <v>0.5773502691896257</v>
      </c>
      <c r="BR12" s="235">
        <f t="shared" si="27"/>
        <v>0</v>
      </c>
      <c r="BS12" s="204" t="s">
        <v>1</v>
      </c>
      <c r="BT12" s="193" t="s">
        <v>128</v>
      </c>
      <c r="BU12" s="243">
        <f aca="true" t="shared" si="45" ref="BU12:BU30">L12*TAN(RADIANS(K12))</f>
        <v>0</v>
      </c>
      <c r="BV12" s="243">
        <f t="shared" si="28"/>
        <v>0</v>
      </c>
      <c r="BW12" s="244">
        <f t="shared" si="29"/>
        <v>1</v>
      </c>
      <c r="BX12" s="244">
        <f t="shared" si="30"/>
        <v>1</v>
      </c>
      <c r="BY12" s="245">
        <f t="shared" si="31"/>
        <v>0.7500000000000001</v>
      </c>
      <c r="BZ12" s="244">
        <f t="shared" si="32"/>
        <v>1</v>
      </c>
      <c r="CA12" s="244">
        <f t="shared" si="33"/>
        <v>1</v>
      </c>
      <c r="CB12" s="244">
        <f t="shared" si="34"/>
        <v>0</v>
      </c>
      <c r="CC12" s="162">
        <f t="shared" si="35"/>
        <v>0.4999999999999999</v>
      </c>
      <c r="CD12" s="162">
        <f t="shared" si="36"/>
        <v>0.5000000000000001</v>
      </c>
      <c r="CE12" s="162">
        <f t="shared" si="37"/>
        <v>1.5</v>
      </c>
      <c r="CF12" s="246">
        <f t="shared" si="38"/>
        <v>0.3333333333333334</v>
      </c>
      <c r="CG12" s="162">
        <f t="shared" si="39"/>
        <v>0.4999999999999999</v>
      </c>
      <c r="CH12" s="162">
        <f t="shared" si="40"/>
        <v>0.5000000000000001</v>
      </c>
      <c r="CI12" s="162">
        <f t="shared" si="41"/>
        <v>1.5</v>
      </c>
      <c r="CJ12" s="246">
        <f t="shared" si="42"/>
        <v>0.3333333333333334</v>
      </c>
    </row>
    <row r="13" spans="1:88" ht="15.75">
      <c r="A13" s="45" t="s">
        <v>61</v>
      </c>
      <c r="B13" s="42">
        <v>3</v>
      </c>
      <c r="C13" s="10">
        <f t="shared" si="0"/>
        <v>14</v>
      </c>
      <c r="D13" s="150">
        <f>'INPUT AND RESULTS'!D13</f>
        <v>12</v>
      </c>
      <c r="E13" s="150">
        <f>'INPUT AND RESULTS'!E13</f>
        <v>2</v>
      </c>
      <c r="F13" s="150">
        <f>'INPUT AND RESULTS'!F13</f>
        <v>10</v>
      </c>
      <c r="G13" s="9">
        <f t="shared" si="1"/>
        <v>2.590618336886994</v>
      </c>
      <c r="H13" s="9">
        <f t="shared" si="2"/>
        <v>0.7720164609053498</v>
      </c>
      <c r="I13" s="9">
        <f t="shared" si="3"/>
        <v>1.5942740387849894</v>
      </c>
      <c r="J13" s="9">
        <f t="shared" si="43"/>
        <v>1.2242350924695522</v>
      </c>
      <c r="K13" s="150">
        <f>'INPUT AND RESULTS'!L13</f>
        <v>0</v>
      </c>
      <c r="L13" s="43">
        <f>'INPUT AND RESULTS'!M13</f>
        <v>200</v>
      </c>
      <c r="M13" s="151">
        <f>'INPUT AND RESULTS'!N13</f>
        <v>0</v>
      </c>
      <c r="N13" s="151">
        <f>'INPUT AND RESULTS'!O13</f>
        <v>1</v>
      </c>
      <c r="O13" s="150">
        <f>'INPUT AND RESULTS'!P13</f>
        <v>0</v>
      </c>
      <c r="P13" s="150">
        <f>'INPUT AND RESULTS'!Q13</f>
        <v>105</v>
      </c>
      <c r="Q13" s="150">
        <f>'INPUT AND RESULTS'!R13</f>
        <v>105</v>
      </c>
      <c r="R13" s="150">
        <f>'INPUT AND RESULTS'!S13</f>
        <v>30</v>
      </c>
      <c r="S13" s="150">
        <f>'INPUT AND RESULTS'!T13</f>
        <v>0</v>
      </c>
      <c r="T13" s="150">
        <f>'INPUT AND RESULTS'!U13</f>
        <v>105</v>
      </c>
      <c r="U13" s="150">
        <f>'INPUT AND RESULTS'!V13</f>
        <v>30</v>
      </c>
      <c r="V13" s="150">
        <f>'INPUT AND RESULTS'!W13</f>
        <v>0</v>
      </c>
      <c r="W13" s="150">
        <f>'INPUT AND RESULTS'!X13</f>
        <v>30</v>
      </c>
      <c r="X13" s="150">
        <f>'INPUT AND RESULTS'!Y13</f>
        <v>90</v>
      </c>
      <c r="Y13" s="150" t="str">
        <f>'INPUT AND RESULTS'!Z13</f>
        <v>I</v>
      </c>
      <c r="Z13" s="150">
        <f>'INPUT AND RESULTS'!AA13</f>
        <v>250</v>
      </c>
      <c r="AA13" s="150">
        <f>'INPUT AND RESULTS'!AB13</f>
        <v>250</v>
      </c>
      <c r="AB13" s="47" t="s">
        <v>61</v>
      </c>
      <c r="AC13" s="49">
        <f t="shared" si="4"/>
        <v>0.5</v>
      </c>
      <c r="AF13" s="104"/>
      <c r="AG13" s="24">
        <f t="shared" si="5"/>
        <v>3542.392560236719</v>
      </c>
      <c r="AH13" s="26">
        <f>V13*BG13*'Load and Resistance Factors'!$E$11+0.5*(F13-2*BD13)*T13*BI13*'Load and Resistance Factors'!$E$11*AC13+T13*E13*BH13*'Load and Resistance Factors'!$E$11</f>
        <v>4336.721283544854</v>
      </c>
      <c r="AI13" s="24">
        <v>0</v>
      </c>
      <c r="AJ13" s="21" t="str">
        <f t="shared" si="6"/>
        <v>---</v>
      </c>
      <c r="AK13" s="24">
        <f>(P13*C13*F13*'Load and Resistance Factors'!$B$7)</f>
        <v>19845</v>
      </c>
      <c r="AL13" s="24" t="str">
        <f>IF(K13=0,"---",IF(L13&gt;=F13,(0.5*P13*(AJ13-C13)*F13*'Load and Resistance Factors'!$B$7),(0.5*P13*(L13*(TAN(RADIANS(K13)))*L13*'Load and Resistance Factors'!$B$7))))</f>
        <v>---</v>
      </c>
      <c r="AM13" s="24" t="str">
        <f>IF(K13=0,"---",IF(L13&gt;=F13,"---",(P13*(L13*(TAN(RADIANS(K13))))*(F13-L13)*'Load and Resistance Factors'!$B$7)))</f>
        <v>---</v>
      </c>
      <c r="AN13" s="24">
        <f>IF(K13=0,Z13*F13*'Load and Resistance Factors'!$D$6,IF(L13&gt;=F13,Z13*F13*'Load and Resistance Factors'!$D$6,AA13*(F13-L13)*'Load and Resistance Factors'!$D$6))</f>
        <v>4375</v>
      </c>
      <c r="AO13" s="21">
        <f t="shared" si="7"/>
        <v>0</v>
      </c>
      <c r="AP13" s="24">
        <f t="shared" si="44"/>
        <v>3430</v>
      </c>
      <c r="AQ13" s="24" t="str">
        <f>IF(K13=0,"---",IF(L13&gt;=F13,AP13*M13*'Load and Resistance Factors'!$C$7,AP13*CB13*'Load and Resistance Factors'!$C$7))</f>
        <v>---</v>
      </c>
      <c r="AR13" s="24" t="str">
        <f>IF(K13=0,"---",IF(L13&gt;=F13,AP13*N13*'Load and Resistance Factors'!$C$7,AP13*BZ13*'Load and Resistance Factors'!$C$7))</f>
        <v>---</v>
      </c>
      <c r="AS13" s="24">
        <f t="shared" si="8"/>
        <v>1166.6666666666665</v>
      </c>
      <c r="AT13" s="24" t="str">
        <f>IF(K13=0,"---",IF(L13&gt;=F13,AS13*M13*'Load and Resistance Factors'!$E$7,AS13*CB13*'Load and Resistance Factors'!$E$7))</f>
        <v>---</v>
      </c>
      <c r="AU13" s="24" t="str">
        <f>IF(K13=0,"---",IF(L13&gt;=F13,AS13*N13*'Load and Resistance Factors'!$E$7,AS13*BZ13*'Load and Resistance Factors'!$E$7))</f>
        <v>---</v>
      </c>
      <c r="AV13" s="24">
        <f>IF(K13=0,(AP13*'Load and Resistance Factors'!$C$7+AS13*'Load and Resistance Factors'!$E$7),AR13+AU13)</f>
        <v>7186.666666666666</v>
      </c>
      <c r="AW13" s="34">
        <f>'Load and Resistance Factors'!$E$10*AX13*(TAN(RADIANS(W13)))</f>
        <v>11457.516092068123</v>
      </c>
      <c r="AX13" s="24">
        <f t="shared" si="9"/>
        <v>19845</v>
      </c>
      <c r="AY13" s="24">
        <f t="shared" si="10"/>
        <v>24220</v>
      </c>
      <c r="AZ13" s="24">
        <f t="shared" si="11"/>
        <v>99225</v>
      </c>
      <c r="BA13" s="24">
        <f>IF(K13=0,AZ13+(Z13*F13*(F13/2)*'Load and Resistance Factors'!$D$7),IF(L13&gt;=F13,AZ13+(AN13*(F13/2)),AZ13+(AN13*(L13+((F13-L13)/2)))))</f>
        <v>121100</v>
      </c>
      <c r="BB13" s="24">
        <f>IF(K13=0,(AP13*'Load and Resistance Factors'!$C$7*(C13/3))+(AS13*'Load and Resistance Factors'!$E$7*(C13/2)),IF(L13&gt;=F13,(AR13*(AJ13/3))+(AU13*(AJ13/2)),(AR13*(AJ13/3))+(AU13*(AJ13/2))))</f>
        <v>38301.666666666664</v>
      </c>
      <c r="BC13" s="21">
        <f t="shared" si="12"/>
        <v>1.9300411522633745</v>
      </c>
      <c r="BD13" s="21">
        <f t="shared" si="13"/>
        <v>1.5814065510597297</v>
      </c>
      <c r="BE13" s="21">
        <f t="shared" si="14"/>
        <v>6.837186897880541</v>
      </c>
      <c r="BF13" s="21">
        <f t="shared" si="15"/>
        <v>2.5</v>
      </c>
      <c r="BG13" s="21">
        <f t="shared" si="16"/>
        <v>30.139627791519086</v>
      </c>
      <c r="BH13" s="21">
        <f t="shared" si="17"/>
        <v>18.401122218708668</v>
      </c>
      <c r="BI13" s="21">
        <f t="shared" si="18"/>
        <v>22.402486271104557</v>
      </c>
      <c r="BJ13" s="22">
        <f t="shared" si="19"/>
        <v>0</v>
      </c>
      <c r="BK13" s="23">
        <f t="shared" si="20"/>
        <v>0.3333333333333333</v>
      </c>
      <c r="BL13" s="1" t="str">
        <f t="shared" si="21"/>
        <v> ---</v>
      </c>
      <c r="BM13" s="25" t="str">
        <f t="shared" si="22"/>
        <v>  --</v>
      </c>
      <c r="BN13" s="21" t="str">
        <f t="shared" si="23"/>
        <v> ---</v>
      </c>
      <c r="BO13" s="27" t="str">
        <f t="shared" si="24"/>
        <v>---</v>
      </c>
      <c r="BP13" s="192">
        <f t="shared" si="25"/>
        <v>0.017453292519943295</v>
      </c>
      <c r="BQ13" s="192">
        <f t="shared" si="26"/>
        <v>0.5773502691896257</v>
      </c>
      <c r="BR13" s="192">
        <f t="shared" si="27"/>
        <v>0</v>
      </c>
      <c r="BS13" s="3" t="s">
        <v>1</v>
      </c>
      <c r="BT13" s="248" t="s">
        <v>210</v>
      </c>
      <c r="BU13" s="243">
        <f t="shared" si="45"/>
        <v>0</v>
      </c>
      <c r="BV13" s="243">
        <f t="shared" si="28"/>
        <v>0</v>
      </c>
      <c r="BW13" s="244">
        <f t="shared" si="29"/>
        <v>1</v>
      </c>
      <c r="BX13" s="244">
        <f t="shared" si="30"/>
        <v>1</v>
      </c>
      <c r="BY13" s="245">
        <f t="shared" si="31"/>
        <v>0.7500000000000001</v>
      </c>
      <c r="BZ13" s="244">
        <f t="shared" si="32"/>
        <v>1</v>
      </c>
      <c r="CA13" s="244">
        <f t="shared" si="33"/>
        <v>1</v>
      </c>
      <c r="CB13" s="244">
        <f t="shared" si="34"/>
        <v>0</v>
      </c>
      <c r="CC13" s="162">
        <f t="shared" si="35"/>
        <v>0.4999999999999999</v>
      </c>
      <c r="CD13" s="162">
        <f t="shared" si="36"/>
        <v>0.5000000000000001</v>
      </c>
      <c r="CE13" s="162">
        <f t="shared" si="37"/>
        <v>1.5</v>
      </c>
      <c r="CF13" s="246">
        <f t="shared" si="38"/>
        <v>0.3333333333333334</v>
      </c>
      <c r="CG13" s="162">
        <f t="shared" si="39"/>
        <v>0.4999999999999999</v>
      </c>
      <c r="CH13" s="162">
        <f t="shared" si="40"/>
        <v>0.5000000000000001</v>
      </c>
      <c r="CI13" s="162">
        <f t="shared" si="41"/>
        <v>1.5</v>
      </c>
      <c r="CJ13" s="246">
        <f t="shared" si="42"/>
        <v>0.3333333333333334</v>
      </c>
    </row>
    <row r="14" spans="1:88" ht="15.75">
      <c r="A14" s="45" t="s">
        <v>61</v>
      </c>
      <c r="B14" s="42">
        <v>4</v>
      </c>
      <c r="C14" s="10">
        <f t="shared" si="0"/>
        <v>16</v>
      </c>
      <c r="D14" s="150">
        <f>'INPUT AND RESULTS'!D14</f>
        <v>14</v>
      </c>
      <c r="E14" s="150">
        <f>'INPUT AND RESULTS'!E14</f>
        <v>2</v>
      </c>
      <c r="F14" s="150">
        <f>'INPUT AND RESULTS'!F14</f>
        <v>12</v>
      </c>
      <c r="G14" s="9">
        <f t="shared" si="1"/>
        <v>2.9958904109589044</v>
      </c>
      <c r="H14" s="9">
        <f t="shared" si="2"/>
        <v>0.6675811614083217</v>
      </c>
      <c r="I14" s="9">
        <f t="shared" si="3"/>
        <v>1.73562204634737</v>
      </c>
      <c r="J14" s="9">
        <f t="shared" si="43"/>
        <v>1.3098139329185743</v>
      </c>
      <c r="K14" s="150">
        <f>'INPUT AND RESULTS'!L14</f>
        <v>0</v>
      </c>
      <c r="L14" s="43">
        <f>'INPUT AND RESULTS'!M14</f>
        <v>200</v>
      </c>
      <c r="M14" s="151">
        <f>'INPUT AND RESULTS'!N14</f>
        <v>0</v>
      </c>
      <c r="N14" s="151">
        <f>'INPUT AND RESULTS'!O14</f>
        <v>1</v>
      </c>
      <c r="O14" s="150">
        <f>'INPUT AND RESULTS'!P14</f>
        <v>0</v>
      </c>
      <c r="P14" s="150">
        <f>'INPUT AND RESULTS'!Q14</f>
        <v>105</v>
      </c>
      <c r="Q14" s="150">
        <f>'INPUT AND RESULTS'!R14</f>
        <v>105</v>
      </c>
      <c r="R14" s="150">
        <f>'INPUT AND RESULTS'!S14</f>
        <v>30</v>
      </c>
      <c r="S14" s="150">
        <f>'INPUT AND RESULTS'!T14</f>
        <v>0</v>
      </c>
      <c r="T14" s="150">
        <f>'INPUT AND RESULTS'!U14</f>
        <v>105</v>
      </c>
      <c r="U14" s="150">
        <f>'INPUT AND RESULTS'!V14</f>
        <v>30</v>
      </c>
      <c r="V14" s="150">
        <f>'INPUT AND RESULTS'!W14</f>
        <v>0</v>
      </c>
      <c r="W14" s="150">
        <f>'INPUT AND RESULTS'!X14</f>
        <v>30</v>
      </c>
      <c r="X14" s="150">
        <f>'INPUT AND RESULTS'!Y14</f>
        <v>90</v>
      </c>
      <c r="Y14" s="150" t="str">
        <f>'INPUT AND RESULTS'!Z14</f>
        <v>I</v>
      </c>
      <c r="Z14" s="150">
        <f>'INPUT AND RESULTS'!AA14</f>
        <v>250</v>
      </c>
      <c r="AA14" s="150">
        <f>'INPUT AND RESULTS'!AB14</f>
        <v>250</v>
      </c>
      <c r="AB14" s="47" t="s">
        <v>61</v>
      </c>
      <c r="AC14" s="49">
        <f t="shared" si="4"/>
        <v>0.5</v>
      </c>
      <c r="AF14" s="104"/>
      <c r="AG14" s="24">
        <f t="shared" si="5"/>
        <v>3756.6689175703546</v>
      </c>
      <c r="AH14" s="26">
        <f>V14*BG14*'Load and Resistance Factors'!$E$11+0.5*(F14-2*BD14)*T14*BI14*'Load and Resistance Factors'!$E$11*AC14+T14*E14*BH14*'Load and Resistance Factors'!$E$11</f>
        <v>4920.53728959579</v>
      </c>
      <c r="AI14" s="24">
        <v>0</v>
      </c>
      <c r="AJ14" s="21" t="str">
        <f t="shared" si="6"/>
        <v>---</v>
      </c>
      <c r="AK14" s="24">
        <f>(P14*C14*F14*'Load and Resistance Factors'!$B$7)</f>
        <v>27216</v>
      </c>
      <c r="AL14" s="24" t="str">
        <f>IF(K14=0,"---",IF(L14&gt;=F14,(0.5*P14*(AJ14-C14)*F14*'Load and Resistance Factors'!$B$7),(0.5*P14*(L14*(TAN(RADIANS(K14)))*L14*'Load and Resistance Factors'!$B$7))))</f>
        <v>---</v>
      </c>
      <c r="AM14" s="24" t="str">
        <f>IF(K14=0,"---",IF(L14&gt;=F14,"---",(P14*(L14*(TAN(RADIANS(K14))))*(F14-L14)*'Load and Resistance Factors'!$B$7)))</f>
        <v>---</v>
      </c>
      <c r="AN14" s="24">
        <f>IF(K14=0,Z14*F14*'Load and Resistance Factors'!$D$6,IF(L14&gt;=F14,Z14*F14*'Load and Resistance Factors'!$D$6,AA14*(F14-L14)*'Load and Resistance Factors'!$D$6))</f>
        <v>5250</v>
      </c>
      <c r="AO14" s="21">
        <f t="shared" si="7"/>
        <v>0</v>
      </c>
      <c r="AP14" s="24">
        <f t="shared" si="44"/>
        <v>4480</v>
      </c>
      <c r="AQ14" s="24" t="str">
        <f>IF(K14=0,"---",IF(L14&gt;=F14,AP14*M14*'Load and Resistance Factors'!$C$7,AP14*CB14*'Load and Resistance Factors'!$C$7))</f>
        <v>---</v>
      </c>
      <c r="AR14" s="24" t="str">
        <f>IF(K14=0,"---",IF(L14&gt;=F14,AP14*N14*'Load and Resistance Factors'!$C$7,AP14*BZ14*'Load and Resistance Factors'!$C$7))</f>
        <v>---</v>
      </c>
      <c r="AS14" s="24">
        <f t="shared" si="8"/>
        <v>1333.3333333333333</v>
      </c>
      <c r="AT14" s="24" t="str">
        <f>IF(K14=0,"---",IF(L14&gt;=F14,AS14*M14*'Load and Resistance Factors'!$E$7,AS14*CB14*'Load and Resistance Factors'!$E$7))</f>
        <v>---</v>
      </c>
      <c r="AU14" s="24" t="str">
        <f>IF(K14=0,"---",IF(L14&gt;=F14,AS14*N14*'Load and Resistance Factors'!$E$7,AS14*BZ14*'Load and Resistance Factors'!$E$7))</f>
        <v>---</v>
      </c>
      <c r="AV14" s="24">
        <f>IF(K14=0,(AP14*'Load and Resistance Factors'!$C$7+AS14*'Load and Resistance Factors'!$E$7),AR14+AU14)</f>
        <v>9053.333333333332</v>
      </c>
      <c r="AW14" s="34">
        <f>'Load and Resistance Factors'!$E$10*AX14*(TAN(RADIANS(W14)))</f>
        <v>15713.164926264853</v>
      </c>
      <c r="AX14" s="24">
        <f t="shared" si="9"/>
        <v>27216</v>
      </c>
      <c r="AY14" s="24">
        <f t="shared" si="10"/>
        <v>32466</v>
      </c>
      <c r="AZ14" s="24">
        <f t="shared" si="11"/>
        <v>163296</v>
      </c>
      <c r="BA14" s="24">
        <f>IF(K14=0,AZ14+(Z14*F14*(F14/2)*'Load and Resistance Factors'!$D$7),IF(L14&gt;=F14,AZ14+(AN14*(F14/2)),AZ14+(AN14*(L14+((F14-L14)/2)))))</f>
        <v>194796</v>
      </c>
      <c r="BB14" s="24">
        <f>IF(K14=0,(AP14*'Load and Resistance Factors'!$C$7*(C14/3))+(AS14*'Load and Resistance Factors'!$E$7*(C14/2)),IF(L14&gt;=F14,(AR14*(AJ14/3))+(AU14*(AJ14/2)),(AR14*(AJ14/3))+(AU14*(AJ14/2))))</f>
        <v>54506.666666666664</v>
      </c>
      <c r="BC14" s="21">
        <f t="shared" si="12"/>
        <v>2.002743484224965</v>
      </c>
      <c r="BD14" s="21">
        <f t="shared" si="13"/>
        <v>1.6788845766853528</v>
      </c>
      <c r="BE14" s="21">
        <f t="shared" si="14"/>
        <v>8.642230846629294</v>
      </c>
      <c r="BF14" s="21">
        <f t="shared" si="15"/>
        <v>3</v>
      </c>
      <c r="BG14" s="21">
        <f t="shared" si="16"/>
        <v>30.139627791519086</v>
      </c>
      <c r="BH14" s="21">
        <f t="shared" si="17"/>
        <v>18.401122218708668</v>
      </c>
      <c r="BI14" s="21">
        <f t="shared" si="18"/>
        <v>22.402486271104557</v>
      </c>
      <c r="BJ14" s="22">
        <f t="shared" si="19"/>
        <v>0</v>
      </c>
      <c r="BK14" s="23">
        <f t="shared" si="20"/>
        <v>0.3333333333333333</v>
      </c>
      <c r="BL14" s="4" t="str">
        <f t="shared" si="21"/>
        <v> ---</v>
      </c>
      <c r="BM14" s="25" t="str">
        <f t="shared" si="22"/>
        <v>  --</v>
      </c>
      <c r="BN14" s="21" t="str">
        <f t="shared" si="23"/>
        <v> ---</v>
      </c>
      <c r="BO14" s="27" t="str">
        <f t="shared" si="24"/>
        <v>---</v>
      </c>
      <c r="BP14" s="235">
        <f t="shared" si="25"/>
        <v>0.017453292519943295</v>
      </c>
      <c r="BQ14" s="235">
        <f t="shared" si="26"/>
        <v>0.5773502691896257</v>
      </c>
      <c r="BR14" s="235">
        <f t="shared" si="27"/>
        <v>0</v>
      </c>
      <c r="BS14" s="204" t="s">
        <v>1</v>
      </c>
      <c r="BT14" s="247">
        <v>1</v>
      </c>
      <c r="BU14" s="243">
        <f t="shared" si="45"/>
        <v>0</v>
      </c>
      <c r="BV14" s="243">
        <f t="shared" si="28"/>
        <v>0</v>
      </c>
      <c r="BW14" s="244">
        <f t="shared" si="29"/>
        <v>1</v>
      </c>
      <c r="BX14" s="244">
        <f t="shared" si="30"/>
        <v>1</v>
      </c>
      <c r="BY14" s="245">
        <f t="shared" si="31"/>
        <v>0.7500000000000001</v>
      </c>
      <c r="BZ14" s="244">
        <f t="shared" si="32"/>
        <v>1</v>
      </c>
      <c r="CA14" s="244">
        <f t="shared" si="33"/>
        <v>1</v>
      </c>
      <c r="CB14" s="244">
        <f t="shared" si="34"/>
        <v>0</v>
      </c>
      <c r="CC14" s="162">
        <f t="shared" si="35"/>
        <v>0.4999999999999999</v>
      </c>
      <c r="CD14" s="162">
        <f t="shared" si="36"/>
        <v>0.5000000000000001</v>
      </c>
      <c r="CE14" s="162">
        <f t="shared" si="37"/>
        <v>1.5</v>
      </c>
      <c r="CF14" s="246">
        <f t="shared" si="38"/>
        <v>0.3333333333333334</v>
      </c>
      <c r="CG14" s="162">
        <f t="shared" si="39"/>
        <v>0.4999999999999999</v>
      </c>
      <c r="CH14" s="162">
        <f t="shared" si="40"/>
        <v>0.5000000000000001</v>
      </c>
      <c r="CI14" s="162">
        <f t="shared" si="41"/>
        <v>1.5</v>
      </c>
      <c r="CJ14" s="246">
        <f t="shared" si="42"/>
        <v>0.3333333333333334</v>
      </c>
    </row>
    <row r="15" spans="1:88" ht="15.75">
      <c r="A15" s="45" t="s">
        <v>61</v>
      </c>
      <c r="B15" s="42">
        <v>5</v>
      </c>
      <c r="C15" s="10">
        <f t="shared" si="0"/>
        <v>18</v>
      </c>
      <c r="D15" s="150">
        <f>'INPUT AND RESULTS'!D15</f>
        <v>16</v>
      </c>
      <c r="E15" s="150">
        <f>'INPUT AND RESULTS'!E15</f>
        <v>2</v>
      </c>
      <c r="F15" s="150">
        <f>'INPUT AND RESULTS'!F15</f>
        <v>13</v>
      </c>
      <c r="G15" s="9">
        <f t="shared" si="1"/>
        <v>2.8879746835443036</v>
      </c>
      <c r="H15" s="9">
        <f t="shared" si="2"/>
        <v>0.6925268463730003</v>
      </c>
      <c r="I15" s="9">
        <f t="shared" si="3"/>
        <v>1.7206127361981391</v>
      </c>
      <c r="J15" s="9">
        <f t="shared" si="43"/>
        <v>1.1988976983670834</v>
      </c>
      <c r="K15" s="150">
        <f>'INPUT AND RESULTS'!L15</f>
        <v>0</v>
      </c>
      <c r="L15" s="43">
        <f>'INPUT AND RESULTS'!M15</f>
        <v>200</v>
      </c>
      <c r="M15" s="151">
        <f>'INPUT AND RESULTS'!N15</f>
        <v>0</v>
      </c>
      <c r="N15" s="151">
        <f>'INPUT AND RESULTS'!O15</f>
        <v>1</v>
      </c>
      <c r="O15" s="150">
        <f>'INPUT AND RESULTS'!P15</f>
        <v>0</v>
      </c>
      <c r="P15" s="150">
        <f>'INPUT AND RESULTS'!Q15</f>
        <v>105</v>
      </c>
      <c r="Q15" s="150">
        <f>'INPUT AND RESULTS'!R15</f>
        <v>105</v>
      </c>
      <c r="R15" s="150">
        <f>'INPUT AND RESULTS'!S15</f>
        <v>30</v>
      </c>
      <c r="S15" s="150">
        <f>'INPUT AND RESULTS'!T15</f>
        <v>0</v>
      </c>
      <c r="T15" s="150">
        <f>'INPUT AND RESULTS'!U15</f>
        <v>105</v>
      </c>
      <c r="U15" s="150">
        <f>'INPUT AND RESULTS'!V15</f>
        <v>30</v>
      </c>
      <c r="V15" s="150">
        <f>'INPUT AND RESULTS'!W15</f>
        <v>0</v>
      </c>
      <c r="W15" s="150">
        <f>'INPUT AND RESULTS'!X15</f>
        <v>30</v>
      </c>
      <c r="X15" s="150">
        <f>'INPUT AND RESULTS'!Y15</f>
        <v>90</v>
      </c>
      <c r="Y15" s="150" t="str">
        <f>'INPUT AND RESULTS'!Z15</f>
        <v>I</v>
      </c>
      <c r="Z15" s="150">
        <f>'INPUT AND RESULTS'!AA15</f>
        <v>250</v>
      </c>
      <c r="AA15" s="150">
        <f>'INPUT AND RESULTS'!AB15</f>
        <v>250</v>
      </c>
      <c r="AB15" s="47" t="s">
        <v>61</v>
      </c>
      <c r="AC15" s="49">
        <f t="shared" si="4"/>
        <v>0.5</v>
      </c>
      <c r="AF15" s="104"/>
      <c r="AG15" s="24">
        <f t="shared" si="5"/>
        <v>4243.212224342455</v>
      </c>
      <c r="AH15" s="26">
        <f>V15*BG15*'Load and Resistance Factors'!$E$11+0.5*(F15-2*BD15)*T15*BI15*'Load and Resistance Factors'!$E$11*AC15+T15*E15*BH15*'Load and Resistance Factors'!$E$11</f>
        <v>5087.177369447241</v>
      </c>
      <c r="AI15" s="24">
        <v>0</v>
      </c>
      <c r="AJ15" s="21" t="str">
        <f t="shared" si="6"/>
        <v>---</v>
      </c>
      <c r="AK15" s="24">
        <f>(P15*C15*F15*'Load and Resistance Factors'!$B$7)</f>
        <v>33169.5</v>
      </c>
      <c r="AL15" s="24" t="str">
        <f>IF(K15=0,"---",IF(L15&gt;=F15,(0.5*P15*(AJ15-C15)*F15*'Load and Resistance Factors'!$B$7),(0.5*P15*(L15*(TAN(RADIANS(K15)))*L15*'Load and Resistance Factors'!$B$7))))</f>
        <v>---</v>
      </c>
      <c r="AM15" s="24" t="str">
        <f>IF(K15=0,"---",IF(L15&gt;=F15,"---",(P15*(L15*(TAN(RADIANS(K15))))*(F15-L15)*'Load and Resistance Factors'!$B$7)))</f>
        <v>---</v>
      </c>
      <c r="AN15" s="24">
        <f>IF(K15=0,Z15*F15*'Load and Resistance Factors'!$D$6,IF(L15&gt;=F15,Z15*F15*'Load and Resistance Factors'!$D$6,AA15*(F15-L15)*'Load and Resistance Factors'!$D$6))</f>
        <v>5687.5</v>
      </c>
      <c r="AO15" s="21">
        <f t="shared" si="7"/>
        <v>0</v>
      </c>
      <c r="AP15" s="24">
        <f t="shared" si="44"/>
        <v>5670</v>
      </c>
      <c r="AQ15" s="24" t="str">
        <f>IF(K15=0,"---",IF(L15&gt;=F15,AP15*M15*'Load and Resistance Factors'!$C$7,AP15*CB15*'Load and Resistance Factors'!$C$7))</f>
        <v>---</v>
      </c>
      <c r="AR15" s="24" t="str">
        <f>IF(K15=0,"---",IF(L15&gt;=F15,AP15*N15*'Load and Resistance Factors'!$C$7,AP15*BZ15*'Load and Resistance Factors'!$C$7))</f>
        <v>---</v>
      </c>
      <c r="AS15" s="24">
        <f t="shared" si="8"/>
        <v>1500</v>
      </c>
      <c r="AT15" s="24" t="str">
        <f>IF(K15=0,"---",IF(L15&gt;=F15,AS15*M15*'Load and Resistance Factors'!$E$7,AS15*CB15*'Load and Resistance Factors'!$E$7))</f>
        <v>---</v>
      </c>
      <c r="AU15" s="24" t="str">
        <f>IF(K15=0,"---",IF(L15&gt;=F15,AS15*N15*'Load and Resistance Factors'!$E$7,AS15*BZ15*'Load and Resistance Factors'!$E$7))</f>
        <v>---</v>
      </c>
      <c r="AV15" s="24">
        <f>IF(K15=0,(AP15*'Load and Resistance Factors'!$C$7+AS15*'Load and Resistance Factors'!$E$7),AR15+AU15)</f>
        <v>11130</v>
      </c>
      <c r="AW15" s="34">
        <f>'Load and Resistance Factors'!$E$10*AX15*(TAN(RADIANS(W15)))</f>
        <v>19150.41975388529</v>
      </c>
      <c r="AX15" s="24">
        <f t="shared" si="9"/>
        <v>33169.5</v>
      </c>
      <c r="AY15" s="24">
        <f t="shared" si="10"/>
        <v>38857</v>
      </c>
      <c r="AZ15" s="24">
        <f t="shared" si="11"/>
        <v>215601.75</v>
      </c>
      <c r="BA15" s="24">
        <f>IF(K15=0,AZ15+(Z15*F15*(F15/2)*'Load and Resistance Factors'!$D$7),IF(L15&gt;=F15,AZ15+(AN15*(F15/2)),AZ15+(AN15*(L15+((F15-L15)/2)))))</f>
        <v>252570.5</v>
      </c>
      <c r="BB15" s="24">
        <f>IF(K15=0,(AP15*'Load and Resistance Factors'!$C$7*(C15/3))+(AS15*'Load and Resistance Factors'!$E$7*(C15/2)),IF(L15&gt;=F15,(AR15*(AJ15/3))+(AU15*(AJ15/2)),(AR15*(AJ15/3))+(AU15*(AJ15/2))))</f>
        <v>74655</v>
      </c>
      <c r="BC15" s="21">
        <f t="shared" si="12"/>
        <v>2.250712250712251</v>
      </c>
      <c r="BD15" s="21">
        <f t="shared" si="13"/>
        <v>1.9212754458656098</v>
      </c>
      <c r="BE15" s="21">
        <f t="shared" si="14"/>
        <v>9.15744910826878</v>
      </c>
      <c r="BF15" s="21">
        <f t="shared" si="15"/>
        <v>3.25</v>
      </c>
      <c r="BG15" s="21">
        <f t="shared" si="16"/>
        <v>30.139627791519086</v>
      </c>
      <c r="BH15" s="21">
        <f t="shared" si="17"/>
        <v>18.401122218708668</v>
      </c>
      <c r="BI15" s="21">
        <f t="shared" si="18"/>
        <v>22.402486271104557</v>
      </c>
      <c r="BJ15" s="22">
        <f t="shared" si="19"/>
        <v>0</v>
      </c>
      <c r="BK15" s="23">
        <f t="shared" si="20"/>
        <v>0.3333333333333333</v>
      </c>
      <c r="BL15" s="1" t="str">
        <f t="shared" si="21"/>
        <v> ---</v>
      </c>
      <c r="BM15" s="25" t="str">
        <f t="shared" si="22"/>
        <v>  --</v>
      </c>
      <c r="BN15" s="21" t="str">
        <f t="shared" si="23"/>
        <v> ---</v>
      </c>
      <c r="BO15" s="27" t="str">
        <f t="shared" si="24"/>
        <v>---</v>
      </c>
      <c r="BP15" s="192">
        <f t="shared" si="25"/>
        <v>0.017453292519943295</v>
      </c>
      <c r="BQ15" s="192">
        <f t="shared" si="26"/>
        <v>0.5773502691896257</v>
      </c>
      <c r="BR15" s="192">
        <f t="shared" si="27"/>
        <v>0</v>
      </c>
      <c r="BS15" s="3" t="s">
        <v>1</v>
      </c>
      <c r="BT15" s="247">
        <f>BT14+1</f>
        <v>2</v>
      </c>
      <c r="BU15" s="243">
        <f t="shared" si="45"/>
        <v>0</v>
      </c>
      <c r="BV15" s="243">
        <f t="shared" si="28"/>
        <v>0</v>
      </c>
      <c r="BW15" s="244">
        <f t="shared" si="29"/>
        <v>1</v>
      </c>
      <c r="BX15" s="244">
        <f t="shared" si="30"/>
        <v>1</v>
      </c>
      <c r="BY15" s="245">
        <f t="shared" si="31"/>
        <v>0.7500000000000001</v>
      </c>
      <c r="BZ15" s="244">
        <f t="shared" si="32"/>
        <v>1</v>
      </c>
      <c r="CA15" s="244">
        <f t="shared" si="33"/>
        <v>1</v>
      </c>
      <c r="CB15" s="244">
        <f t="shared" si="34"/>
        <v>0</v>
      </c>
      <c r="CC15" s="162">
        <f t="shared" si="35"/>
        <v>0.4999999999999999</v>
      </c>
      <c r="CD15" s="162">
        <f t="shared" si="36"/>
        <v>0.5000000000000001</v>
      </c>
      <c r="CE15" s="162">
        <f t="shared" si="37"/>
        <v>1.5</v>
      </c>
      <c r="CF15" s="246">
        <f t="shared" si="38"/>
        <v>0.3333333333333334</v>
      </c>
      <c r="CG15" s="162">
        <f t="shared" si="39"/>
        <v>0.4999999999999999</v>
      </c>
      <c r="CH15" s="162">
        <f t="shared" si="40"/>
        <v>0.5000000000000001</v>
      </c>
      <c r="CI15" s="162">
        <f t="shared" si="41"/>
        <v>1.5</v>
      </c>
      <c r="CJ15" s="246">
        <f t="shared" si="42"/>
        <v>0.3333333333333334</v>
      </c>
    </row>
    <row r="16" spans="1:88" ht="15.75">
      <c r="A16" s="45" t="s">
        <v>61</v>
      </c>
      <c r="B16" s="42">
        <v>6</v>
      </c>
      <c r="C16" s="10">
        <f t="shared" si="0"/>
        <v>20</v>
      </c>
      <c r="D16" s="150">
        <f>'INPUT AND RESULTS'!D16</f>
        <v>18</v>
      </c>
      <c r="E16" s="150">
        <f>'INPUT AND RESULTS'!E16</f>
        <v>2</v>
      </c>
      <c r="F16" s="150">
        <f>'INPUT AND RESULTS'!F16</f>
        <v>14</v>
      </c>
      <c r="G16" s="9">
        <f t="shared" si="1"/>
        <v>2.8016470588235296</v>
      </c>
      <c r="H16" s="9">
        <f t="shared" si="2"/>
        <v>0.7138657932308724</v>
      </c>
      <c r="I16" s="9">
        <f t="shared" si="3"/>
        <v>1.7079527093766147</v>
      </c>
      <c r="J16" s="9">
        <f t="shared" si="43"/>
        <v>1.1089035648265244</v>
      </c>
      <c r="K16" s="150">
        <f>'INPUT AND RESULTS'!L16</f>
        <v>0</v>
      </c>
      <c r="L16" s="43">
        <f>'INPUT AND RESULTS'!M16</f>
        <v>200</v>
      </c>
      <c r="M16" s="151">
        <f>'INPUT AND RESULTS'!N16</f>
        <v>0</v>
      </c>
      <c r="N16" s="151">
        <f>'INPUT AND RESULTS'!O16</f>
        <v>1</v>
      </c>
      <c r="O16" s="150">
        <f>'INPUT AND RESULTS'!P16</f>
        <v>0</v>
      </c>
      <c r="P16" s="150">
        <f>'INPUT AND RESULTS'!Q16</f>
        <v>105</v>
      </c>
      <c r="Q16" s="150">
        <f>'INPUT AND RESULTS'!R16</f>
        <v>105</v>
      </c>
      <c r="R16" s="150">
        <f>'INPUT AND RESULTS'!S16</f>
        <v>30</v>
      </c>
      <c r="S16" s="150">
        <f>'INPUT AND RESULTS'!T16</f>
        <v>0</v>
      </c>
      <c r="T16" s="150">
        <f>'INPUT AND RESULTS'!U16</f>
        <v>105</v>
      </c>
      <c r="U16" s="150">
        <f>'INPUT AND RESULTS'!V16</f>
        <v>30</v>
      </c>
      <c r="V16" s="150">
        <f>'INPUT AND RESULTS'!W16</f>
        <v>0</v>
      </c>
      <c r="W16" s="150">
        <f>'INPUT AND RESULTS'!X16</f>
        <v>30</v>
      </c>
      <c r="X16" s="150">
        <f>'INPUT AND RESULTS'!Y16</f>
        <v>90</v>
      </c>
      <c r="Y16" s="150" t="str">
        <f>'INPUT AND RESULTS'!Z16</f>
        <v>I</v>
      </c>
      <c r="Z16" s="150">
        <f>'INPUT AND RESULTS'!AA16</f>
        <v>250</v>
      </c>
      <c r="AA16" s="150">
        <f>'INPUT AND RESULTS'!AB16</f>
        <v>250</v>
      </c>
      <c r="AB16" s="47" t="s">
        <v>61</v>
      </c>
      <c r="AC16" s="49">
        <f t="shared" si="4"/>
        <v>0.5</v>
      </c>
      <c r="AF16" s="104"/>
      <c r="AG16" s="24">
        <f t="shared" si="5"/>
        <v>4737.361235452104</v>
      </c>
      <c r="AH16" s="26">
        <f>V16*BG16*'Load and Resistance Factors'!$E$11+0.5*(F16-2*BD16)*T16*BI16*'Load and Resistance Factors'!$E$11*AC16+T16*E16*BH16*'Load and Resistance Factors'!$E$11</f>
        <v>5253.276761863825</v>
      </c>
      <c r="AI16" s="24">
        <v>0</v>
      </c>
      <c r="AJ16" s="21" t="str">
        <f t="shared" si="6"/>
        <v>---</v>
      </c>
      <c r="AK16" s="24">
        <f>(P16*C16*F16*'Load and Resistance Factors'!$B$7)</f>
        <v>39690</v>
      </c>
      <c r="AL16" s="24" t="str">
        <f>IF(K16=0,"---",IF(L16&gt;=F16,(0.5*P16*(AJ16-C16)*F16*'Load and Resistance Factors'!$B$7),(0.5*P16*(L16*(TAN(RADIANS(K16)))*L16*'Load and Resistance Factors'!$B$7))))</f>
        <v>---</v>
      </c>
      <c r="AM16" s="24" t="str">
        <f>IF(K16=0,"---",IF(L16&gt;=F16,"---",(P16*(L16*(TAN(RADIANS(K16))))*(F16-L16)*'Load and Resistance Factors'!$B$7)))</f>
        <v>---</v>
      </c>
      <c r="AN16" s="24">
        <f>IF(K16=0,Z16*F16*'Load and Resistance Factors'!$D$6,IF(L16&gt;=F16,Z16*F16*'Load and Resistance Factors'!$D$6,AA16*(F16-L16)*'Load and Resistance Factors'!$D$6))</f>
        <v>6125</v>
      </c>
      <c r="AO16" s="21">
        <f t="shared" si="7"/>
        <v>0</v>
      </c>
      <c r="AP16" s="24">
        <f t="shared" si="44"/>
        <v>7000</v>
      </c>
      <c r="AQ16" s="24" t="str">
        <f>IF(K16=0,"---",IF(L16&gt;=F16,AP16*M16*'Load and Resistance Factors'!$C$7,AP16*CB16*'Load and Resistance Factors'!$C$7))</f>
        <v>---</v>
      </c>
      <c r="AR16" s="24" t="str">
        <f>IF(K16=0,"---",IF(L16&gt;=F16,AP16*N16*'Load and Resistance Factors'!$C$7,AP16*BZ16*'Load and Resistance Factors'!$C$7))</f>
        <v>---</v>
      </c>
      <c r="AS16" s="24">
        <f t="shared" si="8"/>
        <v>1666.6666666666665</v>
      </c>
      <c r="AT16" s="24" t="str">
        <f>IF(K16=0,"---",IF(L16&gt;=F16,AS16*M16*'Load and Resistance Factors'!$E$7,AS16*CB16*'Load and Resistance Factors'!$E$7))</f>
        <v>---</v>
      </c>
      <c r="AU16" s="24" t="str">
        <f>IF(K16=0,"---",IF(L16&gt;=F16,AS16*N16*'Load and Resistance Factors'!$E$7,AS16*BZ16*'Load and Resistance Factors'!$E$7))</f>
        <v>---</v>
      </c>
      <c r="AV16" s="24">
        <f>IF(K16=0,(AP16*'Load and Resistance Factors'!$C$7+AS16*'Load and Resistance Factors'!$E$7),AR16+AU16)</f>
        <v>13416.666666666666</v>
      </c>
      <c r="AW16" s="34">
        <f>'Load and Resistance Factors'!$E$10*AX16*(TAN(RADIANS(W16)))</f>
        <v>22915.032184136246</v>
      </c>
      <c r="AX16" s="24">
        <f t="shared" si="9"/>
        <v>39690</v>
      </c>
      <c r="AY16" s="24">
        <f t="shared" si="10"/>
        <v>45815</v>
      </c>
      <c r="AZ16" s="24">
        <f t="shared" si="11"/>
        <v>277830</v>
      </c>
      <c r="BA16" s="24">
        <f>IF(K16=0,AZ16+(Z16*F16*(F16/2)*'Load and Resistance Factors'!$D$7),IF(L16&gt;=F16,AZ16+(AN16*(F16/2)),AZ16+(AN16*(L16+((F16-L16)/2)))))</f>
        <v>320705</v>
      </c>
      <c r="BB16" s="24">
        <f>IF(K16=0,(AP16*'Load and Resistance Factors'!$C$7*(C16/3))+(AS16*'Load and Resistance Factors'!$E$7*(C16/2)),IF(L16&gt;=F16,(AR16*(AJ16/3))+(AU16*(AJ16/2)),(AR16*(AJ16/3))+(AU16*(AJ16/2))))</f>
        <v>99166.66666666666</v>
      </c>
      <c r="BC16" s="21">
        <f t="shared" si="12"/>
        <v>2.4985302763080535</v>
      </c>
      <c r="BD16" s="21">
        <f t="shared" si="13"/>
        <v>2.1645021645021645</v>
      </c>
      <c r="BE16" s="21">
        <f t="shared" si="14"/>
        <v>9.670995670995671</v>
      </c>
      <c r="BF16" s="21">
        <f t="shared" si="15"/>
        <v>3.5</v>
      </c>
      <c r="BG16" s="21">
        <f t="shared" si="16"/>
        <v>30.139627791519086</v>
      </c>
      <c r="BH16" s="21">
        <f t="shared" si="17"/>
        <v>18.401122218708668</v>
      </c>
      <c r="BI16" s="21">
        <f t="shared" si="18"/>
        <v>22.402486271104557</v>
      </c>
      <c r="BJ16" s="22">
        <f t="shared" si="19"/>
        <v>0</v>
      </c>
      <c r="BK16" s="23">
        <f t="shared" si="20"/>
        <v>0.3333333333333333</v>
      </c>
      <c r="BL16" s="4" t="str">
        <f t="shared" si="21"/>
        <v> ---</v>
      </c>
      <c r="BM16" s="25" t="str">
        <f t="shared" si="22"/>
        <v>  --</v>
      </c>
      <c r="BN16" s="21" t="str">
        <f t="shared" si="23"/>
        <v> ---</v>
      </c>
      <c r="BO16" s="27" t="str">
        <f t="shared" si="24"/>
        <v>---</v>
      </c>
      <c r="BP16" s="235">
        <f t="shared" si="25"/>
        <v>0.017453292519943295</v>
      </c>
      <c r="BQ16" s="235">
        <f t="shared" si="26"/>
        <v>0.5773502691896257</v>
      </c>
      <c r="BR16" s="235">
        <f t="shared" si="27"/>
        <v>0</v>
      </c>
      <c r="BS16" s="204" t="s">
        <v>1</v>
      </c>
      <c r="BT16" s="247">
        <f aca="true" t="shared" si="46" ref="BT16:BT34">BT15+1</f>
        <v>3</v>
      </c>
      <c r="BU16" s="243">
        <f t="shared" si="45"/>
        <v>0</v>
      </c>
      <c r="BV16" s="243">
        <f t="shared" si="28"/>
        <v>0</v>
      </c>
      <c r="BW16" s="244">
        <f t="shared" si="29"/>
        <v>1</v>
      </c>
      <c r="BX16" s="244">
        <f t="shared" si="30"/>
        <v>1</v>
      </c>
      <c r="BY16" s="245">
        <f t="shared" si="31"/>
        <v>0.7500000000000001</v>
      </c>
      <c r="BZ16" s="244">
        <f t="shared" si="32"/>
        <v>1</v>
      </c>
      <c r="CA16" s="244">
        <f t="shared" si="33"/>
        <v>1</v>
      </c>
      <c r="CB16" s="244">
        <f t="shared" si="34"/>
        <v>0</v>
      </c>
      <c r="CC16" s="162">
        <f t="shared" si="35"/>
        <v>0.4999999999999999</v>
      </c>
      <c r="CD16" s="162">
        <f t="shared" si="36"/>
        <v>0.5000000000000001</v>
      </c>
      <c r="CE16" s="162">
        <f t="shared" si="37"/>
        <v>1.5</v>
      </c>
      <c r="CF16" s="246">
        <f t="shared" si="38"/>
        <v>0.3333333333333334</v>
      </c>
      <c r="CG16" s="162">
        <f t="shared" si="39"/>
        <v>0.4999999999999999</v>
      </c>
      <c r="CH16" s="162">
        <f t="shared" si="40"/>
        <v>0.5000000000000001</v>
      </c>
      <c r="CI16" s="162">
        <f t="shared" si="41"/>
        <v>1.5</v>
      </c>
      <c r="CJ16" s="246">
        <f t="shared" si="42"/>
        <v>0.3333333333333334</v>
      </c>
    </row>
    <row r="17" spans="1:88" ht="15.75">
      <c r="A17" s="45" t="s">
        <v>61</v>
      </c>
      <c r="B17" s="42">
        <v>7</v>
      </c>
      <c r="C17" s="10">
        <f t="shared" si="0"/>
        <v>22</v>
      </c>
      <c r="D17" s="150">
        <f>'INPUT AND RESULTS'!D17</f>
        <v>20</v>
      </c>
      <c r="E17" s="150">
        <f>'INPUT AND RESULTS'!E17</f>
        <v>2</v>
      </c>
      <c r="F17" s="150">
        <f>'INPUT AND RESULTS'!F17</f>
        <v>16</v>
      </c>
      <c r="G17" s="9">
        <f t="shared" si="1"/>
        <v>3.1072927072927077</v>
      </c>
      <c r="H17" s="9">
        <f t="shared" si="2"/>
        <v>0.6436471193415636</v>
      </c>
      <c r="I17" s="9">
        <f t="shared" si="3"/>
        <v>1.8102724569429556</v>
      </c>
      <c r="J17" s="9">
        <f t="shared" si="43"/>
        <v>1.178745990258467</v>
      </c>
      <c r="K17" s="150">
        <f>'INPUT AND RESULTS'!L17</f>
        <v>0</v>
      </c>
      <c r="L17" s="43">
        <f>'INPUT AND RESULTS'!M17</f>
        <v>200</v>
      </c>
      <c r="M17" s="151">
        <f>'INPUT AND RESULTS'!N17</f>
        <v>0</v>
      </c>
      <c r="N17" s="151">
        <f>'INPUT AND RESULTS'!O17</f>
        <v>1</v>
      </c>
      <c r="O17" s="150">
        <f>'INPUT AND RESULTS'!P17</f>
        <v>0</v>
      </c>
      <c r="P17" s="150">
        <f>'INPUT AND RESULTS'!Q17</f>
        <v>105</v>
      </c>
      <c r="Q17" s="150">
        <f>'INPUT AND RESULTS'!R17</f>
        <v>105</v>
      </c>
      <c r="R17" s="150">
        <f>'INPUT AND RESULTS'!S17</f>
        <v>30</v>
      </c>
      <c r="S17" s="150">
        <f>'INPUT AND RESULTS'!T17</f>
        <v>0</v>
      </c>
      <c r="T17" s="150">
        <f>'INPUT AND RESULTS'!U17</f>
        <v>105</v>
      </c>
      <c r="U17" s="150">
        <f>'INPUT AND RESULTS'!V17</f>
        <v>30</v>
      </c>
      <c r="V17" s="150">
        <f>'INPUT AND RESULTS'!W17</f>
        <v>0</v>
      </c>
      <c r="W17" s="150">
        <f>'INPUT AND RESULTS'!X17</f>
        <v>30</v>
      </c>
      <c r="X17" s="150">
        <f>'INPUT AND RESULTS'!Y17</f>
        <v>90</v>
      </c>
      <c r="Y17" s="150" t="str">
        <f>'INPUT AND RESULTS'!Z17</f>
        <v>I</v>
      </c>
      <c r="Z17" s="150">
        <f>'INPUT AND RESULTS'!AA17</f>
        <v>250</v>
      </c>
      <c r="AA17" s="150">
        <f>'INPUT AND RESULTS'!AB17</f>
        <v>250</v>
      </c>
      <c r="AB17" s="47" t="s">
        <v>61</v>
      </c>
      <c r="AC17" s="49">
        <f t="shared" si="4"/>
        <v>0.5</v>
      </c>
      <c r="AF17" s="104"/>
      <c r="AG17" s="24">
        <f t="shared" si="5"/>
        <v>4954.2272152667165</v>
      </c>
      <c r="AH17" s="26">
        <f>V17*BG17*'Load and Resistance Factors'!$E$11+0.5*(F17-2*BD17)*T17*BI17*'Load and Resistance Factors'!$E$11*AC17+T17*E17*BH17*'Load and Resistance Factors'!$E$11</f>
        <v>5839.775464825013</v>
      </c>
      <c r="AI17" s="24">
        <v>0</v>
      </c>
      <c r="AJ17" s="21" t="str">
        <f t="shared" si="6"/>
        <v>---</v>
      </c>
      <c r="AK17" s="24">
        <f>(P17*C17*F17*'Load and Resistance Factors'!$B$7)</f>
        <v>49896</v>
      </c>
      <c r="AL17" s="24" t="str">
        <f>IF(K17=0,"---",IF(L17&gt;=F17,(0.5*P17*(AJ17-C17)*F17*'Load and Resistance Factors'!$B$7),(0.5*P17*(L17*(TAN(RADIANS(K17)))*L17*'Load and Resistance Factors'!$B$7))))</f>
        <v>---</v>
      </c>
      <c r="AM17" s="24" t="str">
        <f>IF(K17=0,"---",IF(L17&gt;=F17,"---",(P17*(L17*(TAN(RADIANS(K17))))*(F17-L17)*'Load and Resistance Factors'!$B$7)))</f>
        <v>---</v>
      </c>
      <c r="AN17" s="24">
        <f>IF(K17=0,Z17*F17*'Load and Resistance Factors'!$D$6,IF(L17&gt;=F17,Z17*F17*'Load and Resistance Factors'!$D$6,AA17*(F17-L17)*'Load and Resistance Factors'!$D$6))</f>
        <v>7000</v>
      </c>
      <c r="AO17" s="21">
        <f t="shared" si="7"/>
        <v>0</v>
      </c>
      <c r="AP17" s="24">
        <f t="shared" si="44"/>
        <v>8470</v>
      </c>
      <c r="AQ17" s="24" t="str">
        <f>IF(K17=0,"---",IF(L17&gt;=F17,AP17*M17*'Load and Resistance Factors'!$C$7,AP17*CB17*'Load and Resistance Factors'!$C$7))</f>
        <v>---</v>
      </c>
      <c r="AR17" s="24" t="str">
        <f>IF(K17=0,"---",IF(L17&gt;=F17,AP17*N17*'Load and Resistance Factors'!$C$7,AP17*BZ17*'Load and Resistance Factors'!$C$7))</f>
        <v>---</v>
      </c>
      <c r="AS17" s="24">
        <f t="shared" si="8"/>
        <v>1833.3333333333333</v>
      </c>
      <c r="AT17" s="24" t="str">
        <f>IF(K17=0,"---",IF(L17&gt;=F17,AS17*M17*'Load and Resistance Factors'!$E$7,AS17*CB17*'Load and Resistance Factors'!$E$7))</f>
        <v>---</v>
      </c>
      <c r="AU17" s="24" t="str">
        <f>IF(K17=0,"---",IF(L17&gt;=F17,AS17*N17*'Load and Resistance Factors'!$E$7,AS17*BZ17*'Load and Resistance Factors'!$E$7))</f>
        <v>---</v>
      </c>
      <c r="AV17" s="24">
        <f>IF(K17=0,(AP17*'Load and Resistance Factors'!$C$7+AS17*'Load and Resistance Factors'!$E$7),AR17+AU17)</f>
        <v>15913.333333333332</v>
      </c>
      <c r="AW17" s="34">
        <f>'Load and Resistance Factors'!$E$10*AX17*(TAN(RADIANS(W17)))</f>
        <v>28807.469031485565</v>
      </c>
      <c r="AX17" s="24">
        <f t="shared" si="9"/>
        <v>49896</v>
      </c>
      <c r="AY17" s="24">
        <f t="shared" si="10"/>
        <v>56896</v>
      </c>
      <c r="AZ17" s="24">
        <f t="shared" si="11"/>
        <v>399168</v>
      </c>
      <c r="BA17" s="24">
        <f>IF(K17=0,AZ17+(Z17*F17*(F17/2)*'Load and Resistance Factors'!$D$7),IF(L17&gt;=F17,AZ17+(AN17*(F17/2)),AZ17+(AN17*(L17+((F17-L17)/2)))))</f>
        <v>455168</v>
      </c>
      <c r="BB17" s="24">
        <f>IF(K17=0,(AP17*'Load and Resistance Factors'!$C$7*(C17/3))+(AS17*'Load and Resistance Factors'!$E$7*(C17/2)),IF(L17&gt;=F17,(AR17*(AJ17/3))+(AU17*(AJ17/2)),(AR17*(AJ17/3))+(AU17*(AJ17/2))))</f>
        <v>128461.66666666666</v>
      </c>
      <c r="BC17" s="21">
        <f t="shared" si="12"/>
        <v>2.5745884773662544</v>
      </c>
      <c r="BD17" s="21">
        <f t="shared" si="13"/>
        <v>2.257833005249343</v>
      </c>
      <c r="BE17" s="21">
        <f t="shared" si="14"/>
        <v>11.484333989501314</v>
      </c>
      <c r="BF17" s="21">
        <f t="shared" si="15"/>
        <v>4</v>
      </c>
      <c r="BG17" s="21">
        <f t="shared" si="16"/>
        <v>30.139627791519086</v>
      </c>
      <c r="BH17" s="21">
        <f t="shared" si="17"/>
        <v>18.401122218708668</v>
      </c>
      <c r="BI17" s="21">
        <f t="shared" si="18"/>
        <v>22.402486271104557</v>
      </c>
      <c r="BJ17" s="22">
        <f t="shared" si="19"/>
        <v>0</v>
      </c>
      <c r="BK17" s="23">
        <f t="shared" si="20"/>
        <v>0.3333333333333333</v>
      </c>
      <c r="BL17" s="1" t="str">
        <f t="shared" si="21"/>
        <v> ---</v>
      </c>
      <c r="BM17" s="25" t="str">
        <f t="shared" si="22"/>
        <v>  --</v>
      </c>
      <c r="BN17" s="21" t="str">
        <f t="shared" si="23"/>
        <v> ---</v>
      </c>
      <c r="BO17" s="27" t="str">
        <f t="shared" si="24"/>
        <v>---</v>
      </c>
      <c r="BP17" s="192">
        <f t="shared" si="25"/>
        <v>0.017453292519943295</v>
      </c>
      <c r="BQ17" s="192">
        <f t="shared" si="26"/>
        <v>0.5773502691896257</v>
      </c>
      <c r="BR17" s="192">
        <f t="shared" si="27"/>
        <v>0</v>
      </c>
      <c r="BS17" s="3" t="s">
        <v>1</v>
      </c>
      <c r="BT17" s="247">
        <f t="shared" si="46"/>
        <v>4</v>
      </c>
      <c r="BU17" s="243">
        <f t="shared" si="45"/>
        <v>0</v>
      </c>
      <c r="BV17" s="243">
        <f t="shared" si="28"/>
        <v>0</v>
      </c>
      <c r="BW17" s="244">
        <f t="shared" si="29"/>
        <v>1</v>
      </c>
      <c r="BX17" s="244">
        <f t="shared" si="30"/>
        <v>1</v>
      </c>
      <c r="BY17" s="245">
        <f t="shared" si="31"/>
        <v>0.7500000000000001</v>
      </c>
      <c r="BZ17" s="244">
        <f t="shared" si="32"/>
        <v>1</v>
      </c>
      <c r="CA17" s="244">
        <f t="shared" si="33"/>
        <v>1</v>
      </c>
      <c r="CB17" s="244">
        <f t="shared" si="34"/>
        <v>0</v>
      </c>
      <c r="CC17" s="162">
        <f t="shared" si="35"/>
        <v>0.4999999999999999</v>
      </c>
      <c r="CD17" s="162">
        <f t="shared" si="36"/>
        <v>0.5000000000000001</v>
      </c>
      <c r="CE17" s="162">
        <f t="shared" si="37"/>
        <v>1.5</v>
      </c>
      <c r="CF17" s="246">
        <f t="shared" si="38"/>
        <v>0.3333333333333334</v>
      </c>
      <c r="CG17" s="162">
        <f t="shared" si="39"/>
        <v>0.4999999999999999</v>
      </c>
      <c r="CH17" s="162">
        <f t="shared" si="40"/>
        <v>0.5000000000000001</v>
      </c>
      <c r="CI17" s="162">
        <f t="shared" si="41"/>
        <v>1.5</v>
      </c>
      <c r="CJ17" s="246">
        <f t="shared" si="42"/>
        <v>0.3333333333333334</v>
      </c>
    </row>
    <row r="18" spans="1:88" ht="15.75">
      <c r="A18" s="45" t="s">
        <v>61</v>
      </c>
      <c r="B18" s="42">
        <v>8</v>
      </c>
      <c r="C18" s="10">
        <f t="shared" si="0"/>
        <v>24</v>
      </c>
      <c r="D18" s="150">
        <f>'INPUT AND RESULTS'!D18</f>
        <v>22</v>
      </c>
      <c r="E18" s="150">
        <f>'INPUT AND RESULTS'!E18</f>
        <v>2</v>
      </c>
      <c r="F18" s="150">
        <f>'INPUT AND RESULTS'!F18</f>
        <v>17</v>
      </c>
      <c r="G18" s="9">
        <f t="shared" si="1"/>
        <v>3.0166237113402063</v>
      </c>
      <c r="H18" s="9">
        <f t="shared" si="2"/>
        <v>0.6629928659917125</v>
      </c>
      <c r="I18" s="9">
        <f t="shared" si="3"/>
        <v>1.793258618061913</v>
      </c>
      <c r="J18" s="9">
        <f t="shared" si="43"/>
        <v>1.1053065196270393</v>
      </c>
      <c r="K18" s="150">
        <f>'INPUT AND RESULTS'!L18</f>
        <v>0</v>
      </c>
      <c r="L18" s="43">
        <f>'INPUT AND RESULTS'!M18</f>
        <v>200</v>
      </c>
      <c r="M18" s="151">
        <f>'INPUT AND RESULTS'!N18</f>
        <v>0</v>
      </c>
      <c r="N18" s="151">
        <f>'INPUT AND RESULTS'!O18</f>
        <v>1</v>
      </c>
      <c r="O18" s="150">
        <f>'INPUT AND RESULTS'!P18</f>
        <v>0</v>
      </c>
      <c r="P18" s="150">
        <f>'INPUT AND RESULTS'!Q18</f>
        <v>105</v>
      </c>
      <c r="Q18" s="150">
        <f>'INPUT AND RESULTS'!R18</f>
        <v>105</v>
      </c>
      <c r="R18" s="150">
        <f>'INPUT AND RESULTS'!S18</f>
        <v>30</v>
      </c>
      <c r="S18" s="150">
        <f>'INPUT AND RESULTS'!T18</f>
        <v>0</v>
      </c>
      <c r="T18" s="150">
        <f>'INPUT AND RESULTS'!U18</f>
        <v>105</v>
      </c>
      <c r="U18" s="150">
        <f>'INPUT AND RESULTS'!V18</f>
        <v>30</v>
      </c>
      <c r="V18" s="150">
        <f>'INPUT AND RESULTS'!W18</f>
        <v>0</v>
      </c>
      <c r="W18" s="150">
        <f>'INPUT AND RESULTS'!X18</f>
        <v>30</v>
      </c>
      <c r="X18" s="150">
        <f>'INPUT AND RESULTS'!Y18</f>
        <v>90</v>
      </c>
      <c r="Y18" s="150" t="str">
        <f>'INPUT AND RESULTS'!Z18</f>
        <v>I</v>
      </c>
      <c r="Z18" s="150">
        <f>'INPUT AND RESULTS'!AA18</f>
        <v>250</v>
      </c>
      <c r="AA18" s="150">
        <f>'INPUT AND RESULTS'!AB18</f>
        <v>250</v>
      </c>
      <c r="AB18" s="47" t="s">
        <v>61</v>
      </c>
      <c r="AC18" s="49">
        <f t="shared" si="4"/>
        <v>0.5</v>
      </c>
      <c r="AF18" s="104"/>
      <c r="AG18" s="24">
        <f t="shared" si="5"/>
        <v>5436.255168301976</v>
      </c>
      <c r="AH18" s="26">
        <f>V18*BG18*'Load and Resistance Factors'!$E$11+0.5*(F18-2*BD18)*T18*BI18*'Load and Resistance Factors'!$E$11*AC18+T18*E18*BH18*'Load and Resistance Factors'!$E$11</f>
        <v>6008.728279880362</v>
      </c>
      <c r="AI18" s="24">
        <v>0</v>
      </c>
      <c r="AJ18" s="21" t="str">
        <f t="shared" si="6"/>
        <v>---</v>
      </c>
      <c r="AK18" s="24">
        <f>(P18*C18*F18*'Load and Resistance Factors'!$B$7)</f>
        <v>57834.00000000001</v>
      </c>
      <c r="AL18" s="24" t="str">
        <f>IF(K18=0,"---",IF(L18&gt;=F18,(0.5*P18*(AJ18-C18)*F18*'Load and Resistance Factors'!$B$7),(0.5*P18*(L18*(TAN(RADIANS(K18)))*L18*'Load and Resistance Factors'!$B$7))))</f>
        <v>---</v>
      </c>
      <c r="AM18" s="24" t="str">
        <f>IF(K18=0,"---",IF(L18&gt;=F18,"---",(P18*(L18*(TAN(RADIANS(K18))))*(F18-L18)*'Load and Resistance Factors'!$B$7)))</f>
        <v>---</v>
      </c>
      <c r="AN18" s="24">
        <f>IF(K18=0,Z18*F18*'Load and Resistance Factors'!$D$6,IF(L18&gt;=F18,Z18*F18*'Load and Resistance Factors'!$D$6,AA18*(F18-L18)*'Load and Resistance Factors'!$D$6))</f>
        <v>7437.5</v>
      </c>
      <c r="AO18" s="21">
        <f t="shared" si="7"/>
        <v>0</v>
      </c>
      <c r="AP18" s="24">
        <f t="shared" si="44"/>
        <v>10080</v>
      </c>
      <c r="AQ18" s="24" t="str">
        <f>IF(K18=0,"---",IF(L18&gt;=F18,AP18*M18*'Load and Resistance Factors'!$C$7,AP18*CB18*'Load and Resistance Factors'!$C$7))</f>
        <v>---</v>
      </c>
      <c r="AR18" s="24" t="str">
        <f>IF(K18=0,"---",IF(L18&gt;=F18,AP18*N18*'Load and Resistance Factors'!$C$7,AP18*BZ18*'Load and Resistance Factors'!$C$7))</f>
        <v>---</v>
      </c>
      <c r="AS18" s="24">
        <f t="shared" si="8"/>
        <v>2000</v>
      </c>
      <c r="AT18" s="24" t="str">
        <f>IF(K18=0,"---",IF(L18&gt;=F18,AS18*M18*'Load and Resistance Factors'!$E$7,AS18*CB18*'Load and Resistance Factors'!$E$7))</f>
        <v>---</v>
      </c>
      <c r="AU18" s="24" t="str">
        <f>IF(K18=0,"---",IF(L18&gt;=F18,AS18*N18*'Load and Resistance Factors'!$E$7,AS18*BZ18*'Load and Resistance Factors'!$E$7))</f>
        <v>---</v>
      </c>
      <c r="AV18" s="24">
        <f>IF(K18=0,(AP18*'Load and Resistance Factors'!$C$7+AS18*'Load and Resistance Factors'!$E$7),AR18+AU18)</f>
        <v>18620</v>
      </c>
      <c r="AW18" s="34">
        <f>'Load and Resistance Factors'!$E$10*AX18*(TAN(RADIANS(W18)))</f>
        <v>33390.47546831282</v>
      </c>
      <c r="AX18" s="24">
        <f t="shared" si="9"/>
        <v>57834.00000000001</v>
      </c>
      <c r="AY18" s="24">
        <f t="shared" si="10"/>
        <v>65271.50000000001</v>
      </c>
      <c r="AZ18" s="24">
        <f t="shared" si="11"/>
        <v>491589.00000000006</v>
      </c>
      <c r="BA18" s="24">
        <f>IF(K18=0,AZ18+(Z18*F18*(F18/2)*'Load and Resistance Factors'!$D$7),IF(L18&gt;=F18,AZ18+(AN18*(F18/2)),AZ18+(AN18*(L18+((F18-L18)/2)))))</f>
        <v>554807.75</v>
      </c>
      <c r="BB18" s="24">
        <f>IF(K18=0,(AP18*'Load and Resistance Factors'!$C$7*(C18/3))+(AS18*'Load and Resistance Factors'!$E$7*(C18/2)),IF(L18&gt;=F18,(AR18*(AJ18/3))+(AU18*(AJ18/2)),(AR18*(AJ18/3))+(AU18*(AJ18/2))))</f>
        <v>162960</v>
      </c>
      <c r="BC18" s="21">
        <f t="shared" si="12"/>
        <v>2.817719680464778</v>
      </c>
      <c r="BD18" s="21">
        <f t="shared" si="13"/>
        <v>2.4966486138666957</v>
      </c>
      <c r="BE18" s="21">
        <f t="shared" si="14"/>
        <v>12.006702772266609</v>
      </c>
      <c r="BF18" s="21">
        <f t="shared" si="15"/>
        <v>4.25</v>
      </c>
      <c r="BG18" s="21">
        <f t="shared" si="16"/>
        <v>30.139627791519086</v>
      </c>
      <c r="BH18" s="21">
        <f t="shared" si="17"/>
        <v>18.401122218708668</v>
      </c>
      <c r="BI18" s="21">
        <f t="shared" si="18"/>
        <v>22.402486271104557</v>
      </c>
      <c r="BJ18" s="22">
        <f t="shared" si="19"/>
        <v>0</v>
      </c>
      <c r="BK18" s="23">
        <f t="shared" si="20"/>
        <v>0.3333333333333333</v>
      </c>
      <c r="BL18" s="4" t="str">
        <f t="shared" si="21"/>
        <v> ---</v>
      </c>
      <c r="BM18" s="25" t="str">
        <f t="shared" si="22"/>
        <v>  --</v>
      </c>
      <c r="BN18" s="21" t="str">
        <f t="shared" si="23"/>
        <v> ---</v>
      </c>
      <c r="BO18" s="27" t="str">
        <f t="shared" si="24"/>
        <v>---</v>
      </c>
      <c r="BP18" s="235">
        <f t="shared" si="25"/>
        <v>0.017453292519943295</v>
      </c>
      <c r="BQ18" s="235">
        <f t="shared" si="26"/>
        <v>0.5773502691896257</v>
      </c>
      <c r="BR18" s="235">
        <f t="shared" si="27"/>
        <v>0</v>
      </c>
      <c r="BS18" s="204" t="s">
        <v>1</v>
      </c>
      <c r="BT18" s="247">
        <f t="shared" si="46"/>
        <v>5</v>
      </c>
      <c r="BU18" s="243">
        <f t="shared" si="45"/>
        <v>0</v>
      </c>
      <c r="BV18" s="243">
        <f t="shared" si="28"/>
        <v>0</v>
      </c>
      <c r="BW18" s="244">
        <f t="shared" si="29"/>
        <v>1</v>
      </c>
      <c r="BX18" s="244">
        <f t="shared" si="30"/>
        <v>1</v>
      </c>
      <c r="BY18" s="245">
        <f t="shared" si="31"/>
        <v>0.7500000000000001</v>
      </c>
      <c r="BZ18" s="244">
        <f t="shared" si="32"/>
        <v>1</v>
      </c>
      <c r="CA18" s="244">
        <f t="shared" si="33"/>
        <v>1</v>
      </c>
      <c r="CB18" s="244">
        <f t="shared" si="34"/>
        <v>0</v>
      </c>
      <c r="CC18" s="162">
        <f t="shared" si="35"/>
        <v>0.4999999999999999</v>
      </c>
      <c r="CD18" s="162">
        <f t="shared" si="36"/>
        <v>0.5000000000000001</v>
      </c>
      <c r="CE18" s="162">
        <f t="shared" si="37"/>
        <v>1.5</v>
      </c>
      <c r="CF18" s="246">
        <f t="shared" si="38"/>
        <v>0.3333333333333334</v>
      </c>
      <c r="CG18" s="162">
        <f t="shared" si="39"/>
        <v>0.4999999999999999</v>
      </c>
      <c r="CH18" s="162">
        <f t="shared" si="40"/>
        <v>0.5000000000000001</v>
      </c>
      <c r="CI18" s="162">
        <f t="shared" si="41"/>
        <v>1.5</v>
      </c>
      <c r="CJ18" s="246">
        <f t="shared" si="42"/>
        <v>0.3333333333333334</v>
      </c>
    </row>
    <row r="19" spans="1:88" ht="15.75">
      <c r="A19" s="45" t="s">
        <v>61</v>
      </c>
      <c r="B19" s="42">
        <v>9</v>
      </c>
      <c r="C19" s="10">
        <f t="shared" si="0"/>
        <v>26</v>
      </c>
      <c r="D19" s="150">
        <f>'INPUT AND RESULTS'!D19</f>
        <v>24</v>
      </c>
      <c r="E19" s="150">
        <f>'INPUT AND RESULTS'!E19</f>
        <v>2</v>
      </c>
      <c r="F19" s="150">
        <f>'INPUT AND RESULTS'!F19</f>
        <v>19</v>
      </c>
      <c r="G19" s="9">
        <f t="shared" si="1"/>
        <v>3.275690814040329</v>
      </c>
      <c r="H19" s="9">
        <f t="shared" si="2"/>
        <v>0.6105582344425065</v>
      </c>
      <c r="I19" s="9">
        <f t="shared" si="3"/>
        <v>1.8772015442595082</v>
      </c>
      <c r="J19" s="9">
        <f t="shared" si="43"/>
        <v>1.1628287323750648</v>
      </c>
      <c r="K19" s="150">
        <f>'INPUT AND RESULTS'!L19</f>
        <v>0</v>
      </c>
      <c r="L19" s="43">
        <f>'INPUT AND RESULTS'!M19</f>
        <v>200</v>
      </c>
      <c r="M19" s="151">
        <f>'INPUT AND RESULTS'!N19</f>
        <v>0</v>
      </c>
      <c r="N19" s="151">
        <f>'INPUT AND RESULTS'!O19</f>
        <v>1</v>
      </c>
      <c r="O19" s="150">
        <f>'INPUT AND RESULTS'!P19</f>
        <v>0</v>
      </c>
      <c r="P19" s="150">
        <f>'INPUT AND RESULTS'!Q19</f>
        <v>105</v>
      </c>
      <c r="Q19" s="150">
        <f>'INPUT AND RESULTS'!R19</f>
        <v>105</v>
      </c>
      <c r="R19" s="150">
        <f>'INPUT AND RESULTS'!S19</f>
        <v>30</v>
      </c>
      <c r="S19" s="150">
        <f>'INPUT AND RESULTS'!T19</f>
        <v>0</v>
      </c>
      <c r="T19" s="150">
        <f>'INPUT AND RESULTS'!U19</f>
        <v>105</v>
      </c>
      <c r="U19" s="150">
        <f>'INPUT AND RESULTS'!V19</f>
        <v>30</v>
      </c>
      <c r="V19" s="150">
        <f>'INPUT AND RESULTS'!W19</f>
        <v>0</v>
      </c>
      <c r="W19" s="150">
        <f>'INPUT AND RESULTS'!X19</f>
        <v>30</v>
      </c>
      <c r="X19" s="150">
        <f>'INPUT AND RESULTS'!Y19</f>
        <v>90</v>
      </c>
      <c r="Y19" s="150" t="str">
        <f>'INPUT AND RESULTS'!Z19</f>
        <v>I</v>
      </c>
      <c r="Z19" s="150">
        <f>'INPUT AND RESULTS'!AA19</f>
        <v>250</v>
      </c>
      <c r="AA19" s="150">
        <f>'INPUT AND RESULTS'!AB19</f>
        <v>250</v>
      </c>
      <c r="AB19" s="47" t="s">
        <v>61</v>
      </c>
      <c r="AC19" s="49">
        <f t="shared" si="4"/>
        <v>0.5</v>
      </c>
      <c r="AF19" s="104"/>
      <c r="AG19" s="24">
        <f t="shared" si="5"/>
        <v>5670.357276684555</v>
      </c>
      <c r="AH19" s="26">
        <f>V19*BG19*'Load and Resistance Factors'!$E$11+0.5*(F19-2*BD19)*T19*BI19*'Load and Resistance Factors'!$E$11*AC19+T19*E19*BH19*'Load and Resistance Factors'!$E$11</f>
        <v>6593.654364160825</v>
      </c>
      <c r="AI19" s="24">
        <v>0</v>
      </c>
      <c r="AJ19" s="21" t="str">
        <f t="shared" si="6"/>
        <v>---</v>
      </c>
      <c r="AK19" s="24">
        <f>(P19*C19*F19*'Load and Resistance Factors'!$B$7)</f>
        <v>70024.5</v>
      </c>
      <c r="AL19" s="24" t="str">
        <f>IF(K19=0,"---",IF(L19&gt;=F19,(0.5*P19*(AJ19-C19)*F19*'Load and Resistance Factors'!$B$7),(0.5*P19*(L19*(TAN(RADIANS(K19)))*L19*'Load and Resistance Factors'!$B$7))))</f>
        <v>---</v>
      </c>
      <c r="AM19" s="24" t="str">
        <f>IF(K19=0,"---",IF(L19&gt;=F19,"---",(P19*(L19*(TAN(RADIANS(K19))))*(F19-L19)*'Load and Resistance Factors'!$B$7)))</f>
        <v>---</v>
      </c>
      <c r="AN19" s="24">
        <f>IF(K19=0,Z19*F19*'Load and Resistance Factors'!$D$6,IF(L19&gt;=F19,Z19*F19*'Load and Resistance Factors'!$D$6,AA19*(F19-L19)*'Load and Resistance Factors'!$D$6))</f>
        <v>8312.5</v>
      </c>
      <c r="AO19" s="21">
        <f t="shared" si="7"/>
        <v>0</v>
      </c>
      <c r="AP19" s="24">
        <f t="shared" si="44"/>
        <v>11830</v>
      </c>
      <c r="AQ19" s="24" t="str">
        <f>IF(K19=0,"---",IF(L19&gt;=F19,AP19*M19*'Load and Resistance Factors'!$C$7,AP19*CB19*'Load and Resistance Factors'!$C$7))</f>
        <v>---</v>
      </c>
      <c r="AR19" s="24" t="str">
        <f>IF(K19=0,"---",IF(L19&gt;=F19,AP19*N19*'Load and Resistance Factors'!$C$7,AP19*BZ19*'Load and Resistance Factors'!$C$7))</f>
        <v>---</v>
      </c>
      <c r="AS19" s="24">
        <f t="shared" si="8"/>
        <v>2166.6666666666665</v>
      </c>
      <c r="AT19" s="24" t="str">
        <f>IF(K19=0,"---",IF(L19&gt;=F19,AS19*M19*'Load and Resistance Factors'!$E$7,AS19*CB19*'Load and Resistance Factors'!$E$7))</f>
        <v>---</v>
      </c>
      <c r="AU19" s="24" t="str">
        <f>IF(K19=0,"---",IF(L19&gt;=F19,AS19*N19*'Load and Resistance Factors'!$E$7,AS19*BZ19*'Load and Resistance Factors'!$E$7))</f>
        <v>---</v>
      </c>
      <c r="AV19" s="24">
        <f>IF(K19=0,(AP19*'Load and Resistance Factors'!$C$7+AS19*'Load and Resistance Factors'!$E$7),AR19+AU19)</f>
        <v>21536.666666666668</v>
      </c>
      <c r="AW19" s="34">
        <f>'Load and Resistance Factors'!$E$10*AX19*(TAN(RADIANS(W19)))</f>
        <v>40428.663924868946</v>
      </c>
      <c r="AX19" s="24">
        <f t="shared" si="9"/>
        <v>70024.5</v>
      </c>
      <c r="AY19" s="24">
        <f t="shared" si="10"/>
        <v>78337</v>
      </c>
      <c r="AZ19" s="24">
        <f t="shared" si="11"/>
        <v>665232.75</v>
      </c>
      <c r="BA19" s="24">
        <f>IF(K19=0,AZ19+(Z19*F19*(F19/2)*'Load and Resistance Factors'!$D$7),IF(L19&gt;=F19,AZ19+(AN19*(F19/2)),AZ19+(AN19*(L19+((F19-L19)/2)))))</f>
        <v>744201.5</v>
      </c>
      <c r="BB19" s="24">
        <f>IF(K19=0,(AP19*'Load and Resistance Factors'!$C$7*(C19/3))+(AS19*'Load and Resistance Factors'!$E$7*(C19/2)),IF(L19&gt;=F19,(AR19*(AJ19/3))+(AU19*(AJ19/2)),(AR19*(AJ19/3))+(AU19*(AJ19/2))))</f>
        <v>203081.66666666666</v>
      </c>
      <c r="BC19" s="21">
        <f t="shared" si="12"/>
        <v>2.9001516136019054</v>
      </c>
      <c r="BD19" s="21">
        <f t="shared" si="13"/>
        <v>2.592410568015965</v>
      </c>
      <c r="BE19" s="21">
        <f t="shared" si="14"/>
        <v>13.81517886396807</v>
      </c>
      <c r="BF19" s="21">
        <f t="shared" si="15"/>
        <v>4.75</v>
      </c>
      <c r="BG19" s="21">
        <f t="shared" si="16"/>
        <v>30.139627791519086</v>
      </c>
      <c r="BH19" s="21">
        <f t="shared" si="17"/>
        <v>18.401122218708668</v>
      </c>
      <c r="BI19" s="21">
        <f t="shared" si="18"/>
        <v>22.402486271104557</v>
      </c>
      <c r="BJ19" s="22">
        <f t="shared" si="19"/>
        <v>0</v>
      </c>
      <c r="BK19" s="23">
        <f t="shared" si="20"/>
        <v>0.3333333333333333</v>
      </c>
      <c r="BL19" s="1" t="str">
        <f t="shared" si="21"/>
        <v> ---</v>
      </c>
      <c r="BM19" s="25" t="str">
        <f t="shared" si="22"/>
        <v>  --</v>
      </c>
      <c r="BN19" s="21" t="str">
        <f t="shared" si="23"/>
        <v> ---</v>
      </c>
      <c r="BO19" s="27" t="str">
        <f t="shared" si="24"/>
        <v>---</v>
      </c>
      <c r="BP19" s="192">
        <f t="shared" si="25"/>
        <v>0.017453292519943295</v>
      </c>
      <c r="BQ19" s="192">
        <f t="shared" si="26"/>
        <v>0.5773502691896257</v>
      </c>
      <c r="BR19" s="192">
        <f t="shared" si="27"/>
        <v>0</v>
      </c>
      <c r="BS19" s="3" t="s">
        <v>1</v>
      </c>
      <c r="BT19" s="247">
        <f t="shared" si="46"/>
        <v>6</v>
      </c>
      <c r="BU19" s="243">
        <f t="shared" si="45"/>
        <v>0</v>
      </c>
      <c r="BV19" s="243">
        <f t="shared" si="28"/>
        <v>0</v>
      </c>
      <c r="BW19" s="244">
        <f t="shared" si="29"/>
        <v>1</v>
      </c>
      <c r="BX19" s="244">
        <f t="shared" si="30"/>
        <v>1</v>
      </c>
      <c r="BY19" s="245">
        <f t="shared" si="31"/>
        <v>0.7500000000000001</v>
      </c>
      <c r="BZ19" s="244">
        <f t="shared" si="32"/>
        <v>1</v>
      </c>
      <c r="CA19" s="244">
        <f t="shared" si="33"/>
        <v>1</v>
      </c>
      <c r="CB19" s="244">
        <f t="shared" si="34"/>
        <v>0</v>
      </c>
      <c r="CC19" s="162">
        <f t="shared" si="35"/>
        <v>0.4999999999999999</v>
      </c>
      <c r="CD19" s="162">
        <f t="shared" si="36"/>
        <v>0.5000000000000001</v>
      </c>
      <c r="CE19" s="162">
        <f t="shared" si="37"/>
        <v>1.5</v>
      </c>
      <c r="CF19" s="246">
        <f t="shared" si="38"/>
        <v>0.3333333333333334</v>
      </c>
      <c r="CG19" s="162">
        <f t="shared" si="39"/>
        <v>0.4999999999999999</v>
      </c>
      <c r="CH19" s="162">
        <f t="shared" si="40"/>
        <v>0.5000000000000001</v>
      </c>
      <c r="CI19" s="162">
        <f t="shared" si="41"/>
        <v>1.5</v>
      </c>
      <c r="CJ19" s="246">
        <f t="shared" si="42"/>
        <v>0.3333333333333334</v>
      </c>
    </row>
    <row r="20" spans="1:88" ht="15.75">
      <c r="A20" s="45" t="s">
        <v>61</v>
      </c>
      <c r="B20" s="42">
        <v>10</v>
      </c>
      <c r="C20" s="10">
        <f t="shared" si="0"/>
        <v>28</v>
      </c>
      <c r="D20" s="150">
        <f>'INPUT AND RESULTS'!D20</f>
        <v>26</v>
      </c>
      <c r="E20" s="150">
        <f>'INPUT AND RESULTS'!E20</f>
        <v>2</v>
      </c>
      <c r="F20" s="150">
        <f>'INPUT AND RESULTS'!F20</f>
        <v>20</v>
      </c>
      <c r="G20" s="9">
        <f t="shared" si="1"/>
        <v>3.1847968545216254</v>
      </c>
      <c r="H20" s="9">
        <f t="shared" si="2"/>
        <v>0.62798353909465</v>
      </c>
      <c r="I20" s="9">
        <f t="shared" si="3"/>
        <v>1.8582266942129677</v>
      </c>
      <c r="J20" s="9">
        <f t="shared" si="43"/>
        <v>1.1009745072174346</v>
      </c>
      <c r="K20" s="150">
        <f>'INPUT AND RESULTS'!L20</f>
        <v>0</v>
      </c>
      <c r="L20" s="43">
        <f>'INPUT AND RESULTS'!M20</f>
        <v>200</v>
      </c>
      <c r="M20" s="151">
        <f>'INPUT AND RESULTS'!N20</f>
        <v>0</v>
      </c>
      <c r="N20" s="151">
        <f>'INPUT AND RESULTS'!O20</f>
        <v>1</v>
      </c>
      <c r="O20" s="150">
        <f>'INPUT AND RESULTS'!P20</f>
        <v>0</v>
      </c>
      <c r="P20" s="150">
        <f>'INPUT AND RESULTS'!Q20</f>
        <v>105</v>
      </c>
      <c r="Q20" s="150">
        <f>'INPUT AND RESULTS'!R20</f>
        <v>105</v>
      </c>
      <c r="R20" s="150">
        <f>'INPUT AND RESULTS'!S20</f>
        <v>30</v>
      </c>
      <c r="S20" s="150">
        <f>'INPUT AND RESULTS'!T20</f>
        <v>0</v>
      </c>
      <c r="T20" s="150">
        <f>'INPUT AND RESULTS'!U20</f>
        <v>105</v>
      </c>
      <c r="U20" s="150">
        <f>'INPUT AND RESULTS'!V20</f>
        <v>30</v>
      </c>
      <c r="V20" s="150">
        <f>'INPUT AND RESULTS'!W20</f>
        <v>0</v>
      </c>
      <c r="W20" s="150">
        <f>'INPUT AND RESULTS'!X20</f>
        <v>30</v>
      </c>
      <c r="X20" s="150">
        <f>'INPUT AND RESULTS'!Y20</f>
        <v>90</v>
      </c>
      <c r="Y20" s="150" t="str">
        <f>'INPUT AND RESULTS'!Z20</f>
        <v>I</v>
      </c>
      <c r="Z20" s="150">
        <f>'INPUT AND RESULTS'!AA20</f>
        <v>250</v>
      </c>
      <c r="AA20" s="150">
        <f>'INPUT AND RESULTS'!AB20</f>
        <v>250</v>
      </c>
      <c r="AB20" s="47" t="s">
        <v>61</v>
      </c>
      <c r="AC20" s="49">
        <f t="shared" si="4"/>
        <v>0.5</v>
      </c>
      <c r="AF20" s="104"/>
      <c r="AG20" s="24">
        <f t="shared" si="5"/>
        <v>6144.178418487891</v>
      </c>
      <c r="AH20" s="26">
        <f>V20*BG20*'Load and Resistance Factors'!$E$11+0.5*(F20-2*BD20)*T20*BI20*'Load and Resistance Factors'!$E$11*AC20+T20*E20*BH20*'Load and Resistance Factors'!$E$11</f>
        <v>6764.583806550702</v>
      </c>
      <c r="AI20" s="24">
        <v>0</v>
      </c>
      <c r="AJ20" s="21" t="str">
        <f t="shared" si="6"/>
        <v>---</v>
      </c>
      <c r="AK20" s="24">
        <f>(P20*C20*F20*'Load and Resistance Factors'!$B$7)</f>
        <v>79380</v>
      </c>
      <c r="AL20" s="24" t="str">
        <f>IF(K20=0,"---",IF(L20&gt;=F20,(0.5*P20*(AJ20-C20)*F20*'Load and Resistance Factors'!$B$7),(0.5*P20*(L20*(TAN(RADIANS(K20)))*L20*'Load and Resistance Factors'!$B$7))))</f>
        <v>---</v>
      </c>
      <c r="AM20" s="24" t="str">
        <f>IF(K20=0,"---",IF(L20&gt;=F20,"---",(P20*(L20*(TAN(RADIANS(K20))))*(F20-L20)*'Load and Resistance Factors'!$B$7)))</f>
        <v>---</v>
      </c>
      <c r="AN20" s="24">
        <f>IF(K20=0,Z20*F20*'Load and Resistance Factors'!$D$6,IF(L20&gt;=F20,Z20*F20*'Load and Resistance Factors'!$D$6,AA20*(F20-L20)*'Load and Resistance Factors'!$D$6))</f>
        <v>8750</v>
      </c>
      <c r="AO20" s="21">
        <f t="shared" si="7"/>
        <v>0</v>
      </c>
      <c r="AP20" s="24">
        <f t="shared" si="44"/>
        <v>13720</v>
      </c>
      <c r="AQ20" s="24" t="str">
        <f>IF(K20=0,"---",IF(L20&gt;=F20,AP20*M20*'Load and Resistance Factors'!$C$7,AP20*CB20*'Load and Resistance Factors'!$C$7))</f>
        <v>---</v>
      </c>
      <c r="AR20" s="24" t="str">
        <f>IF(K20=0,"---",IF(L20&gt;=F20,AP20*N20*'Load and Resistance Factors'!$C$7,AP20*BZ20*'Load and Resistance Factors'!$C$7))</f>
        <v>---</v>
      </c>
      <c r="AS20" s="24">
        <f t="shared" si="8"/>
        <v>2333.333333333333</v>
      </c>
      <c r="AT20" s="24" t="str">
        <f>IF(K20=0,"---",IF(L20&gt;=F20,AS20*M20*'Load and Resistance Factors'!$E$7,AS20*CB20*'Load and Resistance Factors'!$E$7))</f>
        <v>---</v>
      </c>
      <c r="AU20" s="24" t="str">
        <f>IF(K20=0,"---",IF(L20&gt;=F20,AS20*N20*'Load and Resistance Factors'!$E$7,AS20*BZ20*'Load and Resistance Factors'!$E$7))</f>
        <v>---</v>
      </c>
      <c r="AV20" s="24">
        <f>IF(K20=0,(AP20*'Load and Resistance Factors'!$C$7+AS20*'Load and Resistance Factors'!$E$7),AR20+AU20)</f>
        <v>24663.333333333332</v>
      </c>
      <c r="AW20" s="34">
        <f>'Load and Resistance Factors'!$E$10*AX20*(TAN(RADIANS(W20)))</f>
        <v>45830.06436827249</v>
      </c>
      <c r="AX20" s="24">
        <f t="shared" si="9"/>
        <v>79380</v>
      </c>
      <c r="AY20" s="24">
        <f t="shared" si="10"/>
        <v>88130</v>
      </c>
      <c r="AZ20" s="24">
        <f t="shared" si="11"/>
        <v>793800</v>
      </c>
      <c r="BA20" s="24">
        <f>IF(K20=0,AZ20+(Z20*F20*(F20/2)*'Load and Resistance Factors'!$D$7),IF(L20&gt;=F20,AZ20+(AN20*(F20/2)),AZ20+(AN20*(L20+((F20-L20)/2)))))</f>
        <v>881300</v>
      </c>
      <c r="BB20" s="24">
        <f>IF(K20=0,(AP20*'Load and Resistance Factors'!$C$7*(C20/3))+(AS20*'Load and Resistance Factors'!$E$7*(C20/2)),IF(L20&gt;=F20,(AR20*(AJ20/3))+(AU20*(AJ20/2)),(AR20*(AJ20/3))+(AU20*(AJ20/2))))</f>
        <v>249246.66666666666</v>
      </c>
      <c r="BC20" s="21">
        <f t="shared" si="12"/>
        <v>3.13991769547325</v>
      </c>
      <c r="BD20" s="21">
        <f t="shared" si="13"/>
        <v>2.8281705056923476</v>
      </c>
      <c r="BE20" s="21">
        <f t="shared" si="14"/>
        <v>14.343658988615305</v>
      </c>
      <c r="BF20" s="21">
        <f t="shared" si="15"/>
        <v>5</v>
      </c>
      <c r="BG20" s="21">
        <f t="shared" si="16"/>
        <v>30.139627791519086</v>
      </c>
      <c r="BH20" s="21">
        <f t="shared" si="17"/>
        <v>18.401122218708668</v>
      </c>
      <c r="BI20" s="21">
        <f t="shared" si="18"/>
        <v>22.402486271104557</v>
      </c>
      <c r="BJ20" s="22">
        <f t="shared" si="19"/>
        <v>0</v>
      </c>
      <c r="BK20" s="23">
        <f t="shared" si="20"/>
        <v>0.3333333333333333</v>
      </c>
      <c r="BL20" s="4" t="str">
        <f t="shared" si="21"/>
        <v> ---</v>
      </c>
      <c r="BM20" s="25" t="str">
        <f t="shared" si="22"/>
        <v>  --</v>
      </c>
      <c r="BN20" s="21" t="str">
        <f t="shared" si="23"/>
        <v> ---</v>
      </c>
      <c r="BO20" s="27" t="str">
        <f t="shared" si="24"/>
        <v>---</v>
      </c>
      <c r="BP20" s="235">
        <f t="shared" si="25"/>
        <v>0.017453292519943295</v>
      </c>
      <c r="BQ20" s="235">
        <f t="shared" si="26"/>
        <v>0.5773502691896257</v>
      </c>
      <c r="BR20" s="235">
        <f t="shared" si="27"/>
        <v>0</v>
      </c>
      <c r="BS20" s="204" t="s">
        <v>1</v>
      </c>
      <c r="BT20" s="247">
        <f t="shared" si="46"/>
        <v>7</v>
      </c>
      <c r="BU20" s="243">
        <f t="shared" si="45"/>
        <v>0</v>
      </c>
      <c r="BV20" s="243">
        <f t="shared" si="28"/>
        <v>0</v>
      </c>
      <c r="BW20" s="244">
        <f t="shared" si="29"/>
        <v>1</v>
      </c>
      <c r="BX20" s="244">
        <f t="shared" si="30"/>
        <v>1</v>
      </c>
      <c r="BY20" s="245">
        <f t="shared" si="31"/>
        <v>0.7500000000000001</v>
      </c>
      <c r="BZ20" s="244">
        <f t="shared" si="32"/>
        <v>1</v>
      </c>
      <c r="CA20" s="244">
        <f t="shared" si="33"/>
        <v>1</v>
      </c>
      <c r="CB20" s="244">
        <f t="shared" si="34"/>
        <v>0</v>
      </c>
      <c r="CC20" s="162">
        <f t="shared" si="35"/>
        <v>0.4999999999999999</v>
      </c>
      <c r="CD20" s="162">
        <f t="shared" si="36"/>
        <v>0.5000000000000001</v>
      </c>
      <c r="CE20" s="162">
        <f t="shared" si="37"/>
        <v>1.5</v>
      </c>
      <c r="CF20" s="246">
        <f t="shared" si="38"/>
        <v>0.3333333333333334</v>
      </c>
      <c r="CG20" s="162">
        <f t="shared" si="39"/>
        <v>0.4999999999999999</v>
      </c>
      <c r="CH20" s="162">
        <f t="shared" si="40"/>
        <v>0.5000000000000001</v>
      </c>
      <c r="CI20" s="162">
        <f t="shared" si="41"/>
        <v>1.5</v>
      </c>
      <c r="CJ20" s="246">
        <f t="shared" si="42"/>
        <v>0.3333333333333334</v>
      </c>
    </row>
    <row r="21" spans="1:88" ht="15.75">
      <c r="A21" s="45" t="s">
        <v>61</v>
      </c>
      <c r="B21" s="42">
        <v>11</v>
      </c>
      <c r="C21" s="10">
        <f t="shared" si="0"/>
        <v>30</v>
      </c>
      <c r="D21" s="150">
        <f>'INPUT AND RESULTS'!D21</f>
        <v>28</v>
      </c>
      <c r="E21" s="150">
        <f>'INPUT AND RESULTS'!E21</f>
        <v>2</v>
      </c>
      <c r="F21" s="150">
        <f>'INPUT AND RESULTS'!F21</f>
        <v>21</v>
      </c>
      <c r="G21" s="9">
        <f t="shared" si="1"/>
        <v>3.1061739130434782</v>
      </c>
      <c r="H21" s="9">
        <f t="shared" si="2"/>
        <v>0.6438789507572577</v>
      </c>
      <c r="I21" s="9">
        <f t="shared" si="3"/>
        <v>1.8413865147966626</v>
      </c>
      <c r="J21" s="9">
        <f t="shared" si="43"/>
        <v>1.0470102825673975</v>
      </c>
      <c r="K21" s="150">
        <f>'INPUT AND RESULTS'!L21</f>
        <v>0</v>
      </c>
      <c r="L21" s="43">
        <f>'INPUT AND RESULTS'!M21</f>
        <v>200</v>
      </c>
      <c r="M21" s="151">
        <f>'INPUT AND RESULTS'!N21</f>
        <v>0</v>
      </c>
      <c r="N21" s="151">
        <f>'INPUT AND RESULTS'!O21</f>
        <v>1</v>
      </c>
      <c r="O21" s="150">
        <f>'INPUT AND RESULTS'!P21</f>
        <v>0</v>
      </c>
      <c r="P21" s="150">
        <f>'INPUT AND RESULTS'!Q21</f>
        <v>105</v>
      </c>
      <c r="Q21" s="150">
        <f>'INPUT AND RESULTS'!R21</f>
        <v>105</v>
      </c>
      <c r="R21" s="150">
        <f>'INPUT AND RESULTS'!S21</f>
        <v>30</v>
      </c>
      <c r="S21" s="150">
        <f>'INPUT AND RESULTS'!T21</f>
        <v>0</v>
      </c>
      <c r="T21" s="150">
        <f>'INPUT AND RESULTS'!U21</f>
        <v>105</v>
      </c>
      <c r="U21" s="150">
        <f>'INPUT AND RESULTS'!V21</f>
        <v>30</v>
      </c>
      <c r="V21" s="150">
        <f>'INPUT AND RESULTS'!W21</f>
        <v>0</v>
      </c>
      <c r="W21" s="150">
        <f>'INPUT AND RESULTS'!X21</f>
        <v>30</v>
      </c>
      <c r="X21" s="150">
        <f>'INPUT AND RESULTS'!Y21</f>
        <v>90</v>
      </c>
      <c r="Y21" s="150" t="str">
        <f>'INPUT AND RESULTS'!Z21</f>
        <v>I</v>
      </c>
      <c r="Z21" s="150">
        <f>'INPUT AND RESULTS'!AA21</f>
        <v>250</v>
      </c>
      <c r="AA21" s="150">
        <f>'INPUT AND RESULTS'!AB21</f>
        <v>250</v>
      </c>
      <c r="AB21" s="47" t="s">
        <v>61</v>
      </c>
      <c r="AC21" s="49">
        <f t="shared" si="4"/>
        <v>0.5</v>
      </c>
      <c r="AF21" s="104"/>
      <c r="AG21" s="24">
        <f t="shared" si="5"/>
        <v>6623.431316317752</v>
      </c>
      <c r="AH21" s="26">
        <f>V21*BG21*'Load and Resistance Factors'!$E$11+0.5*(F21-2*BD21)*T21*BI21*'Load and Resistance Factors'!$E$11*AC21+T21*E21*BH21*'Load and Resistance Factors'!$E$11</f>
        <v>6934.800694063599</v>
      </c>
      <c r="AI21" s="24">
        <v>0</v>
      </c>
      <c r="AJ21" s="21" t="str">
        <f t="shared" si="6"/>
        <v>---</v>
      </c>
      <c r="AK21" s="24">
        <f>(P21*C21*F21*'Load and Resistance Factors'!$B$7)</f>
        <v>89302.5</v>
      </c>
      <c r="AL21" s="24" t="str">
        <f>IF(K21=0,"---",IF(L21&gt;=F21,(0.5*P21*(AJ21-C21)*F21*'Load and Resistance Factors'!$B$7),(0.5*P21*(L21*(TAN(RADIANS(K21)))*L21*'Load and Resistance Factors'!$B$7))))</f>
        <v>---</v>
      </c>
      <c r="AM21" s="24" t="str">
        <f>IF(K21=0,"---",IF(L21&gt;=F21,"---",(P21*(L21*(TAN(RADIANS(K21))))*(F21-L21)*'Load and Resistance Factors'!$B$7)))</f>
        <v>---</v>
      </c>
      <c r="AN21" s="24">
        <f>IF(K21=0,Z21*F21*'Load and Resistance Factors'!$D$6,IF(L21&gt;=F21,Z21*F21*'Load and Resistance Factors'!$D$6,AA21*(F21-L21)*'Load and Resistance Factors'!$D$6))</f>
        <v>9187.5</v>
      </c>
      <c r="AO21" s="21">
        <f t="shared" si="7"/>
        <v>0</v>
      </c>
      <c r="AP21" s="24">
        <f t="shared" si="44"/>
        <v>15750</v>
      </c>
      <c r="AQ21" s="24" t="str">
        <f>IF(K21=0,"---",IF(L21&gt;=F21,AP21*M21*'Load and Resistance Factors'!$C$7,AP21*CB21*'Load and Resistance Factors'!$C$7))</f>
        <v>---</v>
      </c>
      <c r="AR21" s="24" t="str">
        <f>IF(K21=0,"---",IF(L21&gt;=F21,AP21*N21*'Load and Resistance Factors'!$C$7,AP21*BZ21*'Load and Resistance Factors'!$C$7))</f>
        <v>---</v>
      </c>
      <c r="AS21" s="24">
        <f t="shared" si="8"/>
        <v>2500</v>
      </c>
      <c r="AT21" s="24" t="str">
        <f>IF(K21=0,"---",IF(L21&gt;=F21,AS21*M21*'Load and Resistance Factors'!$E$7,AS21*CB21*'Load and Resistance Factors'!$E$7))</f>
        <v>---</v>
      </c>
      <c r="AU21" s="24" t="str">
        <f>IF(K21=0,"---",IF(L21&gt;=F21,AS21*N21*'Load and Resistance Factors'!$E$7,AS21*BZ21*'Load and Resistance Factors'!$E$7))</f>
        <v>---</v>
      </c>
      <c r="AV21" s="24">
        <f>IF(K21=0,(AP21*'Load and Resistance Factors'!$C$7+AS21*'Load and Resistance Factors'!$E$7),AR21+AU21)</f>
        <v>28000</v>
      </c>
      <c r="AW21" s="34">
        <f>'Load and Resistance Factors'!$E$10*AX21*(TAN(RADIANS(W21)))</f>
        <v>51558.82241430655</v>
      </c>
      <c r="AX21" s="24">
        <f t="shared" si="9"/>
        <v>89302.5</v>
      </c>
      <c r="AY21" s="24">
        <f t="shared" si="10"/>
        <v>98490</v>
      </c>
      <c r="AZ21" s="24">
        <f t="shared" si="11"/>
        <v>937676.25</v>
      </c>
      <c r="BA21" s="24">
        <f>IF(K21=0,AZ21+(Z21*F21*(F21/2)*'Load and Resistance Factors'!$D$7),IF(L21&gt;=F21,AZ21+(AN21*(F21/2)),AZ21+(AN21*(L21+((F21-L21)/2)))))</f>
        <v>1034145</v>
      </c>
      <c r="BB21" s="24">
        <f>IF(K21=0,(AP21*'Load and Resistance Factors'!$C$7*(C21/3))+(AS21*'Load and Resistance Factors'!$E$7*(C21/2)),IF(L21&gt;=F21,(AR21*(AJ21/3))+(AU21*(AJ21/2)),(AR21*(AJ21/3))+(AU21*(AJ21/2))))</f>
        <v>301875</v>
      </c>
      <c r="BC21" s="21">
        <f t="shared" si="12"/>
        <v>3.3803644914756026</v>
      </c>
      <c r="BD21" s="21">
        <f t="shared" si="13"/>
        <v>3.065031982942431</v>
      </c>
      <c r="BE21" s="21">
        <f t="shared" si="14"/>
        <v>14.869936034115138</v>
      </c>
      <c r="BF21" s="21">
        <f t="shared" si="15"/>
        <v>5.25</v>
      </c>
      <c r="BG21" s="21">
        <f t="shared" si="16"/>
        <v>30.139627791519086</v>
      </c>
      <c r="BH21" s="21">
        <f t="shared" si="17"/>
        <v>18.401122218708668</v>
      </c>
      <c r="BI21" s="21">
        <f t="shared" si="18"/>
        <v>22.402486271104557</v>
      </c>
      <c r="BJ21" s="22">
        <f t="shared" si="19"/>
        <v>0</v>
      </c>
      <c r="BK21" s="23">
        <f t="shared" si="20"/>
        <v>0.3333333333333333</v>
      </c>
      <c r="BL21" s="1" t="str">
        <f t="shared" si="21"/>
        <v> ---</v>
      </c>
      <c r="BM21" s="25" t="str">
        <f t="shared" si="22"/>
        <v>  --</v>
      </c>
      <c r="BN21" s="21" t="str">
        <f t="shared" si="23"/>
        <v> ---</v>
      </c>
      <c r="BO21" s="27" t="str">
        <f t="shared" si="24"/>
        <v>---</v>
      </c>
      <c r="BP21" s="192">
        <f t="shared" si="25"/>
        <v>0.017453292519943295</v>
      </c>
      <c r="BQ21" s="192">
        <f t="shared" si="26"/>
        <v>0.5773502691896257</v>
      </c>
      <c r="BR21" s="192">
        <f t="shared" si="27"/>
        <v>0</v>
      </c>
      <c r="BS21" s="3" t="s">
        <v>1</v>
      </c>
      <c r="BT21" s="247">
        <f t="shared" si="46"/>
        <v>8</v>
      </c>
      <c r="BU21" s="243">
        <f t="shared" si="45"/>
        <v>0</v>
      </c>
      <c r="BV21" s="243">
        <f t="shared" si="28"/>
        <v>0</v>
      </c>
      <c r="BW21" s="244">
        <f t="shared" si="29"/>
        <v>1</v>
      </c>
      <c r="BX21" s="244">
        <f t="shared" si="30"/>
        <v>1</v>
      </c>
      <c r="BY21" s="245">
        <f t="shared" si="31"/>
        <v>0.7500000000000001</v>
      </c>
      <c r="BZ21" s="244">
        <f t="shared" si="32"/>
        <v>1</v>
      </c>
      <c r="CA21" s="244">
        <f t="shared" si="33"/>
        <v>1</v>
      </c>
      <c r="CB21" s="244">
        <f t="shared" si="34"/>
        <v>0</v>
      </c>
      <c r="CC21" s="162">
        <f t="shared" si="35"/>
        <v>0.4999999999999999</v>
      </c>
      <c r="CD21" s="162">
        <f t="shared" si="36"/>
        <v>0.5000000000000001</v>
      </c>
      <c r="CE21" s="162">
        <f t="shared" si="37"/>
        <v>1.5</v>
      </c>
      <c r="CF21" s="246">
        <f t="shared" si="38"/>
        <v>0.3333333333333334</v>
      </c>
      <c r="CG21" s="162">
        <f t="shared" si="39"/>
        <v>0.4999999999999999</v>
      </c>
      <c r="CH21" s="162">
        <f t="shared" si="40"/>
        <v>0.5000000000000001</v>
      </c>
      <c r="CI21" s="162">
        <f t="shared" si="41"/>
        <v>1.5</v>
      </c>
      <c r="CJ21" s="246">
        <f t="shared" si="42"/>
        <v>0.3333333333333334</v>
      </c>
    </row>
    <row r="22" spans="1:88" ht="15.75">
      <c r="A22" s="45" t="s">
        <v>61</v>
      </c>
      <c r="B22" s="42">
        <v>12</v>
      </c>
      <c r="C22" s="10">
        <f t="shared" si="0"/>
        <v>32</v>
      </c>
      <c r="D22" s="150">
        <f>'INPUT AND RESULTS'!D22</f>
        <v>30</v>
      </c>
      <c r="E22" s="150">
        <f>'INPUT AND RESULTS'!E22</f>
        <v>2</v>
      </c>
      <c r="F22" s="150">
        <f>'INPUT AND RESULTS'!F22</f>
        <v>23</v>
      </c>
      <c r="G22" s="9">
        <f t="shared" si="1"/>
        <v>3.319912190082645</v>
      </c>
      <c r="H22" s="9">
        <f t="shared" si="2"/>
        <v>0.6024255719697854</v>
      </c>
      <c r="I22" s="9">
        <f t="shared" si="3"/>
        <v>1.9093554168643896</v>
      </c>
      <c r="J22" s="9">
        <f t="shared" si="43"/>
        <v>1.0967460227419994</v>
      </c>
      <c r="K22" s="150">
        <f>'INPUT AND RESULTS'!L22</f>
        <v>0</v>
      </c>
      <c r="L22" s="43">
        <f>'INPUT AND RESULTS'!M22</f>
        <v>200</v>
      </c>
      <c r="M22" s="151">
        <f>'INPUT AND RESULTS'!N22</f>
        <v>0</v>
      </c>
      <c r="N22" s="151">
        <f>'INPUT AND RESULTS'!O22</f>
        <v>1</v>
      </c>
      <c r="O22" s="150">
        <f>'INPUT AND RESULTS'!P22</f>
        <v>0</v>
      </c>
      <c r="P22" s="150">
        <f>'INPUT AND RESULTS'!Q22</f>
        <v>105</v>
      </c>
      <c r="Q22" s="150">
        <f>'INPUT AND RESULTS'!R22</f>
        <v>105</v>
      </c>
      <c r="R22" s="150">
        <f>'INPUT AND RESULTS'!S22</f>
        <v>30</v>
      </c>
      <c r="S22" s="150">
        <f>'INPUT AND RESULTS'!T22</f>
        <v>0</v>
      </c>
      <c r="T22" s="150">
        <f>'INPUT AND RESULTS'!U22</f>
        <v>105</v>
      </c>
      <c r="U22" s="150">
        <f>'INPUT AND RESULTS'!V22</f>
        <v>30</v>
      </c>
      <c r="V22" s="150">
        <f>'INPUT AND RESULTS'!W22</f>
        <v>0</v>
      </c>
      <c r="W22" s="150">
        <f>'INPUT AND RESULTS'!X22</f>
        <v>30</v>
      </c>
      <c r="X22" s="150">
        <f>'INPUT AND RESULTS'!Y22</f>
        <v>90</v>
      </c>
      <c r="Y22" s="150" t="str">
        <f>'INPUT AND RESULTS'!Z22</f>
        <v>I</v>
      </c>
      <c r="Z22" s="150">
        <f>'INPUT AND RESULTS'!AA22</f>
        <v>250</v>
      </c>
      <c r="AA22" s="150">
        <f>'INPUT AND RESULTS'!AB22</f>
        <v>250</v>
      </c>
      <c r="AB22" s="47" t="s">
        <v>61</v>
      </c>
      <c r="AC22" s="49">
        <f t="shared" si="4"/>
        <v>0.5</v>
      </c>
      <c r="AF22" s="104"/>
      <c r="AG22" s="24">
        <f t="shared" si="5"/>
        <v>6857.316051166325</v>
      </c>
      <c r="AH22" s="26">
        <f>V22*BG22*'Load and Resistance Factors'!$E$11+0.5*(F22-2*BD22)*T22*BI22*'Load and Resistance Factors'!$E$11*AC22+T22*E22*BH22*'Load and Resistance Factors'!$E$11</f>
        <v>7520.734105801541</v>
      </c>
      <c r="AI22" s="24">
        <v>0</v>
      </c>
      <c r="AJ22" s="21" t="str">
        <f t="shared" si="6"/>
        <v>---</v>
      </c>
      <c r="AK22" s="24">
        <f>(P22*C22*F22*'Load and Resistance Factors'!$B$7)</f>
        <v>104328</v>
      </c>
      <c r="AL22" s="24" t="str">
        <f>IF(K22=0,"---",IF(L22&gt;=F22,(0.5*P22*(AJ22-C22)*F22*'Load and Resistance Factors'!$B$7),(0.5*P22*(L22*(TAN(RADIANS(K22)))*L22*'Load and Resistance Factors'!$B$7))))</f>
        <v>---</v>
      </c>
      <c r="AM22" s="24" t="str">
        <f>IF(K22=0,"---",IF(L22&gt;=F22,"---",(P22*(L22*(TAN(RADIANS(K22))))*(F22-L22)*'Load and Resistance Factors'!$B$7)))</f>
        <v>---</v>
      </c>
      <c r="AN22" s="24">
        <f>IF(K22=0,Z22*F22*'Load and Resistance Factors'!$D$6,IF(L22&gt;=F22,Z22*F22*'Load and Resistance Factors'!$D$6,AA22*(F22-L22)*'Load and Resistance Factors'!$D$6))</f>
        <v>10062.5</v>
      </c>
      <c r="AO22" s="21">
        <f t="shared" si="7"/>
        <v>0</v>
      </c>
      <c r="AP22" s="24">
        <f t="shared" si="44"/>
        <v>17920</v>
      </c>
      <c r="AQ22" s="24" t="str">
        <f>IF(K22=0,"---",IF(L22&gt;=F22,AP22*M22*'Load and Resistance Factors'!$C$7,AP22*CB22*'Load and Resistance Factors'!$C$7))</f>
        <v>---</v>
      </c>
      <c r="AR22" s="24" t="str">
        <f>IF(K22=0,"---",IF(L22&gt;=F22,AP22*N22*'Load and Resistance Factors'!$C$7,AP22*BZ22*'Load and Resistance Factors'!$C$7))</f>
        <v>---</v>
      </c>
      <c r="AS22" s="24">
        <f t="shared" si="8"/>
        <v>2666.6666666666665</v>
      </c>
      <c r="AT22" s="24" t="str">
        <f>IF(K22=0,"---",IF(L22&gt;=F22,AS22*M22*'Load and Resistance Factors'!$E$7,AS22*CB22*'Load and Resistance Factors'!$E$7))</f>
        <v>---</v>
      </c>
      <c r="AU22" s="24" t="str">
        <f>IF(K22=0,"---",IF(L22&gt;=F22,AS22*N22*'Load and Resistance Factors'!$E$7,AS22*BZ22*'Load and Resistance Factors'!$E$7))</f>
        <v>---</v>
      </c>
      <c r="AV22" s="24">
        <f>IF(K22=0,(AP22*'Load and Resistance Factors'!$C$7+AS22*'Load and Resistance Factors'!$E$7),AR22+AU22)</f>
        <v>31546.666666666664</v>
      </c>
      <c r="AW22" s="34">
        <f>'Load and Resistance Factors'!$E$10*AX22*(TAN(RADIANS(W22)))</f>
        <v>60233.798884015276</v>
      </c>
      <c r="AX22" s="24">
        <f t="shared" si="9"/>
        <v>104328</v>
      </c>
      <c r="AY22" s="24">
        <f t="shared" si="10"/>
        <v>114390.5</v>
      </c>
      <c r="AZ22" s="24">
        <f t="shared" si="11"/>
        <v>1199772</v>
      </c>
      <c r="BA22" s="24">
        <f>IF(K22=0,AZ22+(Z22*F22*(F22/2)*'Load and Resistance Factors'!$D$7),IF(L22&gt;=F22,AZ22+(AN22*(F22/2)),AZ22+(AN22*(L22+((F22-L22)/2)))))</f>
        <v>1315490.75</v>
      </c>
      <c r="BB22" s="24">
        <f>IF(K22=0,(AP22*'Load and Resistance Factors'!$C$7*(C22/3))+(AS22*'Load and Resistance Factors'!$E$7*(C22/2)),IF(L22&gt;=F22,(AR22*(AJ22/3))+(AU22*(AJ22/2)),(AR22*(AJ22/3))+(AU22*(AJ22/2))))</f>
        <v>361386.6666666666</v>
      </c>
      <c r="BC22" s="21">
        <f t="shared" si="12"/>
        <v>3.463947038826266</v>
      </c>
      <c r="BD22" s="21">
        <f t="shared" si="13"/>
        <v>3.1592367081765236</v>
      </c>
      <c r="BE22" s="21">
        <f t="shared" si="14"/>
        <v>16.681526583646953</v>
      </c>
      <c r="BF22" s="21">
        <f t="shared" si="15"/>
        <v>5.75</v>
      </c>
      <c r="BG22" s="21">
        <f t="shared" si="16"/>
        <v>30.139627791519086</v>
      </c>
      <c r="BH22" s="21">
        <f t="shared" si="17"/>
        <v>18.401122218708668</v>
      </c>
      <c r="BI22" s="21">
        <f t="shared" si="18"/>
        <v>22.402486271104557</v>
      </c>
      <c r="BJ22" s="22">
        <f t="shared" si="19"/>
        <v>0</v>
      </c>
      <c r="BK22" s="23">
        <f t="shared" si="20"/>
        <v>0.3333333333333333</v>
      </c>
      <c r="BL22" s="4" t="str">
        <f t="shared" si="21"/>
        <v> ---</v>
      </c>
      <c r="BM22" s="25" t="str">
        <f t="shared" si="22"/>
        <v>  --</v>
      </c>
      <c r="BN22" s="21" t="str">
        <f t="shared" si="23"/>
        <v> ---</v>
      </c>
      <c r="BO22" s="27" t="str">
        <f t="shared" si="24"/>
        <v>---</v>
      </c>
      <c r="BP22" s="235">
        <f t="shared" si="25"/>
        <v>0.017453292519943295</v>
      </c>
      <c r="BQ22" s="235">
        <f t="shared" si="26"/>
        <v>0.5773502691896257</v>
      </c>
      <c r="BR22" s="235">
        <f t="shared" si="27"/>
        <v>0</v>
      </c>
      <c r="BS22" s="204" t="s">
        <v>1</v>
      </c>
      <c r="BT22" s="247">
        <f t="shared" si="46"/>
        <v>9</v>
      </c>
      <c r="BU22" s="243">
        <f t="shared" si="45"/>
        <v>0</v>
      </c>
      <c r="BV22" s="243">
        <f t="shared" si="28"/>
        <v>0</v>
      </c>
      <c r="BW22" s="244">
        <f t="shared" si="29"/>
        <v>1</v>
      </c>
      <c r="BX22" s="244">
        <f t="shared" si="30"/>
        <v>1</v>
      </c>
      <c r="BY22" s="245">
        <f t="shared" si="31"/>
        <v>0.7500000000000001</v>
      </c>
      <c r="BZ22" s="244">
        <f t="shared" si="32"/>
        <v>1</v>
      </c>
      <c r="CA22" s="244">
        <f t="shared" si="33"/>
        <v>1</v>
      </c>
      <c r="CB22" s="244">
        <f t="shared" si="34"/>
        <v>0</v>
      </c>
      <c r="CC22" s="162">
        <f t="shared" si="35"/>
        <v>0.4999999999999999</v>
      </c>
      <c r="CD22" s="162">
        <f t="shared" si="36"/>
        <v>0.5000000000000001</v>
      </c>
      <c r="CE22" s="162">
        <f t="shared" si="37"/>
        <v>1.5</v>
      </c>
      <c r="CF22" s="246">
        <f t="shared" si="38"/>
        <v>0.3333333333333334</v>
      </c>
      <c r="CG22" s="162">
        <f t="shared" si="39"/>
        <v>0.4999999999999999</v>
      </c>
      <c r="CH22" s="162">
        <f t="shared" si="40"/>
        <v>0.5000000000000001</v>
      </c>
      <c r="CI22" s="162">
        <f t="shared" si="41"/>
        <v>1.5</v>
      </c>
      <c r="CJ22" s="246">
        <f t="shared" si="42"/>
        <v>0.3333333333333334</v>
      </c>
    </row>
    <row r="23" spans="1:88" ht="15.75">
      <c r="A23" s="45" t="s">
        <v>61</v>
      </c>
      <c r="B23" s="42">
        <v>13</v>
      </c>
      <c r="C23" s="10">
        <f t="shared" si="0"/>
        <v>34</v>
      </c>
      <c r="D23" s="150">
        <f>'INPUT AND RESULTS'!D23</f>
        <v>32</v>
      </c>
      <c r="E23" s="150">
        <f>'INPUT AND RESULTS'!E23</f>
        <v>2</v>
      </c>
      <c r="F23" s="150">
        <f>'INPUT AND RESULTS'!F23</f>
        <v>24</v>
      </c>
      <c r="G23" s="9">
        <f t="shared" si="1"/>
        <v>3.241500694766096</v>
      </c>
      <c r="H23" s="9">
        <f t="shared" si="2"/>
        <v>0.6169981710105166</v>
      </c>
      <c r="I23" s="9">
        <f t="shared" si="3"/>
        <v>1.8916330168055604</v>
      </c>
      <c r="J23" s="9">
        <f t="shared" si="43"/>
        <v>1.049415400490209</v>
      </c>
      <c r="K23" s="150">
        <f>'INPUT AND RESULTS'!L23</f>
        <v>0</v>
      </c>
      <c r="L23" s="43">
        <f>'INPUT AND RESULTS'!M23</f>
        <v>200</v>
      </c>
      <c r="M23" s="151">
        <f>'INPUT AND RESULTS'!N23</f>
        <v>0</v>
      </c>
      <c r="N23" s="151">
        <f>'INPUT AND RESULTS'!O23</f>
        <v>1</v>
      </c>
      <c r="O23" s="150">
        <f>'INPUT AND RESULTS'!P23</f>
        <v>0</v>
      </c>
      <c r="P23" s="150">
        <f>'INPUT AND RESULTS'!Q23</f>
        <v>105</v>
      </c>
      <c r="Q23" s="150">
        <f>'INPUT AND RESULTS'!R23</f>
        <v>105</v>
      </c>
      <c r="R23" s="150">
        <f>'INPUT AND RESULTS'!S23</f>
        <v>30</v>
      </c>
      <c r="S23" s="150">
        <f>'INPUT AND RESULTS'!T23</f>
        <v>0</v>
      </c>
      <c r="T23" s="150">
        <f>'INPUT AND RESULTS'!U23</f>
        <v>105</v>
      </c>
      <c r="U23" s="150">
        <f>'INPUT AND RESULTS'!V23</f>
        <v>30</v>
      </c>
      <c r="V23" s="150">
        <f>'INPUT AND RESULTS'!W23</f>
        <v>0</v>
      </c>
      <c r="W23" s="150">
        <f>'INPUT AND RESULTS'!X23</f>
        <v>30</v>
      </c>
      <c r="X23" s="150">
        <f>'INPUT AND RESULTS'!Y23</f>
        <v>90</v>
      </c>
      <c r="Y23" s="150" t="str">
        <f>'INPUT AND RESULTS'!Z23</f>
        <v>I</v>
      </c>
      <c r="Z23" s="150">
        <f>'INPUT AND RESULTS'!AA23</f>
        <v>250</v>
      </c>
      <c r="AA23" s="150">
        <f>'INPUT AND RESULTS'!AB23</f>
        <v>250</v>
      </c>
      <c r="AB23" s="47" t="s">
        <v>61</v>
      </c>
      <c r="AC23" s="49">
        <f t="shared" si="4"/>
        <v>0.5</v>
      </c>
      <c r="AF23" s="104"/>
      <c r="AG23" s="24">
        <f t="shared" si="5"/>
        <v>7330.15016256616</v>
      </c>
      <c r="AH23" s="26">
        <f>V23*BG23*'Load and Resistance Factors'!$E$11+0.5*(F23-2*BD23)*T23*BI23*'Load and Resistance Factors'!$E$11*AC23+T23*E23*BH23*'Load and Resistance Factors'!$E$11</f>
        <v>7692.372468502738</v>
      </c>
      <c r="AI23" s="24">
        <v>0</v>
      </c>
      <c r="AJ23" s="21" t="str">
        <f t="shared" si="6"/>
        <v>---</v>
      </c>
      <c r="AK23" s="24">
        <f>(P23*C23*F23*'Load and Resistance Factors'!$B$7)</f>
        <v>115668.00000000001</v>
      </c>
      <c r="AL23" s="24" t="str">
        <f>IF(K23=0,"---",IF(L23&gt;=F23,(0.5*P23*(AJ23-C23)*F23*'Load and Resistance Factors'!$B$7),(0.5*P23*(L23*(TAN(RADIANS(K23)))*L23*'Load and Resistance Factors'!$B$7))))</f>
        <v>---</v>
      </c>
      <c r="AM23" s="24" t="str">
        <f>IF(K23=0,"---",IF(L23&gt;=F23,"---",(P23*(L23*(TAN(RADIANS(K23))))*(F23-L23)*'Load and Resistance Factors'!$B$7)))</f>
        <v>---</v>
      </c>
      <c r="AN23" s="24">
        <f>IF(K23=0,Z23*F23*'Load and Resistance Factors'!$D$6,IF(L23&gt;=F23,Z23*F23*'Load and Resistance Factors'!$D$6,AA23*(F23-L23)*'Load and Resistance Factors'!$D$6))</f>
        <v>10500</v>
      </c>
      <c r="AO23" s="21">
        <f t="shared" si="7"/>
        <v>0</v>
      </c>
      <c r="AP23" s="24">
        <f t="shared" si="44"/>
        <v>20230</v>
      </c>
      <c r="AQ23" s="24" t="str">
        <f>IF(K23=0,"---",IF(L23&gt;=F23,AP23*M23*'Load and Resistance Factors'!$C$7,AP23*CB23*'Load and Resistance Factors'!$C$7))</f>
        <v>---</v>
      </c>
      <c r="AR23" s="24" t="str">
        <f>IF(K23=0,"---",IF(L23&gt;=F23,AP23*N23*'Load and Resistance Factors'!$C$7,AP23*BZ23*'Load and Resistance Factors'!$C$7))</f>
        <v>---</v>
      </c>
      <c r="AS23" s="24">
        <f t="shared" si="8"/>
        <v>2833.333333333333</v>
      </c>
      <c r="AT23" s="24" t="str">
        <f>IF(K23=0,"---",IF(L23&gt;=F23,AS23*M23*'Load and Resistance Factors'!$E$7,AS23*CB23*'Load and Resistance Factors'!$E$7))</f>
        <v>---</v>
      </c>
      <c r="AU23" s="24" t="str">
        <f>IF(K23=0,"---",IF(L23&gt;=F23,AS23*N23*'Load and Resistance Factors'!$E$7,AS23*BZ23*'Load and Resistance Factors'!$E$7))</f>
        <v>---</v>
      </c>
      <c r="AV23" s="24">
        <f>IF(K23=0,(AP23*'Load and Resistance Factors'!$C$7+AS23*'Load and Resistance Factors'!$E$7),AR23+AU23)</f>
        <v>35303.333333333336</v>
      </c>
      <c r="AW23" s="34">
        <f>'Load and Resistance Factors'!$E$10*AX23*(TAN(RADIANS(W23)))</f>
        <v>66780.95093662564</v>
      </c>
      <c r="AX23" s="24">
        <f t="shared" si="9"/>
        <v>115668.00000000001</v>
      </c>
      <c r="AY23" s="24">
        <f t="shared" si="10"/>
        <v>126168.00000000001</v>
      </c>
      <c r="AZ23" s="24">
        <f t="shared" si="11"/>
        <v>1388016.0000000002</v>
      </c>
      <c r="BA23" s="24">
        <f>IF(K23=0,AZ23+(Z23*F23*(F23/2)*'Load and Resistance Factors'!$D$7),IF(L23&gt;=F23,AZ23+(AN23*(F23/2)),AZ23+(AN23*(L23+((F23-L23)/2)))))</f>
        <v>1514016.0000000002</v>
      </c>
      <c r="BB23" s="24">
        <f>IF(K23=0,(AP23*'Load and Resistance Factors'!$C$7*(C23/3))+(AS23*'Load and Resistance Factors'!$E$7*(C23/2)),IF(L23&gt;=F23,(AR23*(AJ23/3))+(AU23*(AJ23/2)),(AR23*(AJ23/3))+(AU23*(AJ23/2))))</f>
        <v>428201.6666666666</v>
      </c>
      <c r="BC23" s="21">
        <f t="shared" si="12"/>
        <v>3.7019890260630994</v>
      </c>
      <c r="BD23" s="21">
        <f t="shared" si="13"/>
        <v>3.3939007249593125</v>
      </c>
      <c r="BE23" s="21">
        <f t="shared" si="14"/>
        <v>17.212198550081375</v>
      </c>
      <c r="BF23" s="21">
        <f t="shared" si="15"/>
        <v>6</v>
      </c>
      <c r="BG23" s="21">
        <f t="shared" si="16"/>
        <v>30.139627791519086</v>
      </c>
      <c r="BH23" s="21">
        <f t="shared" si="17"/>
        <v>18.401122218708668</v>
      </c>
      <c r="BI23" s="21">
        <f t="shared" si="18"/>
        <v>22.402486271104557</v>
      </c>
      <c r="BJ23" s="22">
        <f t="shared" si="19"/>
        <v>0</v>
      </c>
      <c r="BK23" s="23">
        <f t="shared" si="20"/>
        <v>0.3333333333333333</v>
      </c>
      <c r="BL23" s="1" t="str">
        <f t="shared" si="21"/>
        <v> ---</v>
      </c>
      <c r="BM23" s="25" t="str">
        <f t="shared" si="22"/>
        <v>  --</v>
      </c>
      <c r="BN23" s="21" t="str">
        <f t="shared" si="23"/>
        <v> ---</v>
      </c>
      <c r="BO23" s="27" t="str">
        <f t="shared" si="24"/>
        <v>---</v>
      </c>
      <c r="BP23" s="192">
        <f t="shared" si="25"/>
        <v>0.017453292519943295</v>
      </c>
      <c r="BQ23" s="192">
        <f t="shared" si="26"/>
        <v>0.5773502691896257</v>
      </c>
      <c r="BR23" s="192">
        <f t="shared" si="27"/>
        <v>0</v>
      </c>
      <c r="BS23" s="3" t="s">
        <v>1</v>
      </c>
      <c r="BT23" s="247">
        <f t="shared" si="46"/>
        <v>10</v>
      </c>
      <c r="BU23" s="243">
        <f t="shared" si="45"/>
        <v>0</v>
      </c>
      <c r="BV23" s="243">
        <f t="shared" si="28"/>
        <v>0</v>
      </c>
      <c r="BW23" s="244">
        <f t="shared" si="29"/>
        <v>1</v>
      </c>
      <c r="BX23" s="244">
        <f t="shared" si="30"/>
        <v>1</v>
      </c>
      <c r="BY23" s="245">
        <f t="shared" si="31"/>
        <v>0.7500000000000001</v>
      </c>
      <c r="BZ23" s="244">
        <f t="shared" si="32"/>
        <v>1</v>
      </c>
      <c r="CA23" s="244">
        <f t="shared" si="33"/>
        <v>1</v>
      </c>
      <c r="CB23" s="244">
        <f t="shared" si="34"/>
        <v>0</v>
      </c>
      <c r="CC23" s="162">
        <f t="shared" si="35"/>
        <v>0.4999999999999999</v>
      </c>
      <c r="CD23" s="162">
        <f t="shared" si="36"/>
        <v>0.5000000000000001</v>
      </c>
      <c r="CE23" s="162">
        <f t="shared" si="37"/>
        <v>1.5</v>
      </c>
      <c r="CF23" s="246">
        <f t="shared" si="38"/>
        <v>0.3333333333333334</v>
      </c>
      <c r="CG23" s="162">
        <f t="shared" si="39"/>
        <v>0.4999999999999999</v>
      </c>
      <c r="CH23" s="162">
        <f t="shared" si="40"/>
        <v>0.5000000000000001</v>
      </c>
      <c r="CI23" s="162">
        <f t="shared" si="41"/>
        <v>1.5</v>
      </c>
      <c r="CJ23" s="246">
        <f t="shared" si="42"/>
        <v>0.3333333333333334</v>
      </c>
    </row>
    <row r="24" spans="1:88" ht="15.75">
      <c r="A24" s="45" t="s">
        <v>61</v>
      </c>
      <c r="B24" s="42">
        <v>14</v>
      </c>
      <c r="C24" s="10">
        <f t="shared" si="0"/>
        <v>36</v>
      </c>
      <c r="D24" s="150">
        <f>'INPUT AND RESULTS'!D24</f>
        <v>34</v>
      </c>
      <c r="E24" s="150">
        <f>'INPUT AND RESULTS'!E24</f>
        <v>2</v>
      </c>
      <c r="F24" s="150">
        <f>'INPUT AND RESULTS'!F24</f>
        <v>26</v>
      </c>
      <c r="G24" s="9">
        <f t="shared" si="1"/>
        <v>3.430827067669173</v>
      </c>
      <c r="H24" s="9">
        <f t="shared" si="2"/>
        <v>0.5829498137190445</v>
      </c>
      <c r="I24" s="9">
        <f t="shared" si="3"/>
        <v>1.9506411768663396</v>
      </c>
      <c r="J24" s="9">
        <f t="shared" si="43"/>
        <v>1.0928690403608048</v>
      </c>
      <c r="K24" s="150">
        <f>'INPUT AND RESULTS'!L24</f>
        <v>0</v>
      </c>
      <c r="L24" s="43">
        <f>'INPUT AND RESULTS'!M24</f>
        <v>200</v>
      </c>
      <c r="M24" s="151">
        <f>'INPUT AND RESULTS'!N24</f>
        <v>0</v>
      </c>
      <c r="N24" s="151">
        <f>'INPUT AND RESULTS'!O24</f>
        <v>1</v>
      </c>
      <c r="O24" s="150">
        <f>'INPUT AND RESULTS'!P24</f>
        <v>0</v>
      </c>
      <c r="P24" s="150">
        <f>'INPUT AND RESULTS'!Q24</f>
        <v>105</v>
      </c>
      <c r="Q24" s="150">
        <f>'INPUT AND RESULTS'!R24</f>
        <v>105</v>
      </c>
      <c r="R24" s="150">
        <f>'INPUT AND RESULTS'!S24</f>
        <v>30</v>
      </c>
      <c r="S24" s="150">
        <f>'INPUT AND RESULTS'!T24</f>
        <v>0</v>
      </c>
      <c r="T24" s="150">
        <f>'INPUT AND RESULTS'!U24</f>
        <v>105</v>
      </c>
      <c r="U24" s="150">
        <f>'INPUT AND RESULTS'!V24</f>
        <v>30</v>
      </c>
      <c r="V24" s="150">
        <f>'INPUT AND RESULTS'!W24</f>
        <v>0</v>
      </c>
      <c r="W24" s="150">
        <f>'INPUT AND RESULTS'!X24</f>
        <v>30</v>
      </c>
      <c r="X24" s="150">
        <f>'INPUT AND RESULTS'!Y24</f>
        <v>90</v>
      </c>
      <c r="Y24" s="150" t="str">
        <f>'INPUT AND RESULTS'!Z24</f>
        <v>I</v>
      </c>
      <c r="Z24" s="150">
        <f>'INPUT AND RESULTS'!AA24</f>
        <v>250</v>
      </c>
      <c r="AA24" s="150">
        <f>'INPUT AND RESULTS'!AB24</f>
        <v>250</v>
      </c>
      <c r="AB24" s="47" t="s">
        <v>61</v>
      </c>
      <c r="AC24" s="49">
        <f t="shared" si="4"/>
        <v>0.5</v>
      </c>
      <c r="AE24" s="149"/>
      <c r="AF24" s="82"/>
      <c r="AG24" s="24">
        <f t="shared" si="5"/>
        <v>7573.736981814652</v>
      </c>
      <c r="AH24" s="26">
        <f>V24*BG24*'Load and Resistance Factors'!$E$11+0.5*(F24-2*BD24)*T24*BI24*'Load and Resistance Factors'!$E$11*AC24+T24*E24*BH24*'Load and Resistance Factors'!$E$11</f>
        <v>8277.102667260917</v>
      </c>
      <c r="AI24" s="24">
        <v>0</v>
      </c>
      <c r="AJ24" s="21" t="str">
        <f t="shared" si="6"/>
        <v>---</v>
      </c>
      <c r="AK24" s="24">
        <f>(P24*C24*F24*'Load and Resistance Factors'!$B$7)</f>
        <v>132678</v>
      </c>
      <c r="AL24" s="24" t="str">
        <f>IF(K24=0,"---",IF(L24&gt;=F24,(0.5*P24*(AJ24-C24)*F24*'Load and Resistance Factors'!$B$7),(0.5*P24*(L24*(TAN(RADIANS(K24)))*L24*'Load and Resistance Factors'!$B$7))))</f>
        <v>---</v>
      </c>
      <c r="AM24" s="24" t="str">
        <f>IF(K24=0,"---",IF(L24&gt;=F24,"---",(P24*(L24*(TAN(RADIANS(K24))))*(F24-L24)*'Load and Resistance Factors'!$B$7)))</f>
        <v>---</v>
      </c>
      <c r="AN24" s="24">
        <f>IF(K24=0,Z24*F24*'Load and Resistance Factors'!$D$6,IF(L24&gt;=F24,Z24*F24*'Load and Resistance Factors'!$D$6,AA24*(F24-L24)*'Load and Resistance Factors'!$D$6))</f>
        <v>11375</v>
      </c>
      <c r="AO24" s="21">
        <f t="shared" si="7"/>
        <v>0</v>
      </c>
      <c r="AP24" s="24">
        <f t="shared" si="44"/>
        <v>22680</v>
      </c>
      <c r="AQ24" s="24" t="str">
        <f>IF(K24=0,"---",IF(L24&gt;=F24,AP24*M24*'Load and Resistance Factors'!$C$7,AP24*CB24*'Load and Resistance Factors'!$C$7))</f>
        <v>---</v>
      </c>
      <c r="AR24" s="24" t="str">
        <f>IF(K24=0,"---",IF(L24&gt;=F24,AP24*N24*'Load and Resistance Factors'!$C$7,AP24*BZ24*'Load and Resistance Factors'!$C$7))</f>
        <v>---</v>
      </c>
      <c r="AS24" s="24">
        <f t="shared" si="8"/>
        <v>3000</v>
      </c>
      <c r="AT24" s="24" t="str">
        <f>IF(K24=0,"---",IF(L24&gt;=F24,AS24*M24*'Load and Resistance Factors'!$E$7,AS24*CB24*'Load and Resistance Factors'!$E$7))</f>
        <v>---</v>
      </c>
      <c r="AU24" s="24" t="str">
        <f>IF(K24=0,"---",IF(L24&gt;=F24,AS24*N24*'Load and Resistance Factors'!$E$7,AS24*BZ24*'Load and Resistance Factors'!$E$7))</f>
        <v>---</v>
      </c>
      <c r="AV24" s="24">
        <f>IF(K24=0,(AP24*'Load and Resistance Factors'!$C$7+AS24*'Load and Resistance Factors'!$E$7),AR24+AU24)</f>
        <v>39270</v>
      </c>
      <c r="AW24" s="34">
        <f>'Load and Resistance Factors'!$E$10*AX24*(TAN(RADIANS(W24)))</f>
        <v>76601.67901554116</v>
      </c>
      <c r="AX24" s="24">
        <f t="shared" si="9"/>
        <v>132678</v>
      </c>
      <c r="AY24" s="24">
        <f t="shared" si="10"/>
        <v>144053</v>
      </c>
      <c r="AZ24" s="24">
        <f t="shared" si="11"/>
        <v>1724814</v>
      </c>
      <c r="BA24" s="24">
        <f>IF(K24=0,AZ24+(Z24*F24*(F24/2)*'Load and Resistance Factors'!$D$7),IF(L24&gt;=F24,AZ24+(AN24*(F24/2)),AZ24+(AN24*(L24+((F24-L24)/2)))))</f>
        <v>1872689</v>
      </c>
      <c r="BB24" s="24">
        <f>IF(K24=0,(AP24*'Load and Resistance Factors'!$C$7*(C24/3))+(AS24*'Load and Resistance Factors'!$E$7*(C24/2)),IF(L24&gt;=F24,(AR24*(AJ24/3))+(AU24*(AJ24/2)),(AR24*(AJ24/3))+(AU24*(AJ24/2))))</f>
        <v>502740</v>
      </c>
      <c r="BC24" s="21">
        <f t="shared" si="12"/>
        <v>3.7891737891737893</v>
      </c>
      <c r="BD24" s="21">
        <f t="shared" si="13"/>
        <v>3.4899654988094664</v>
      </c>
      <c r="BE24" s="21">
        <f t="shared" si="14"/>
        <v>19.020069002381067</v>
      </c>
      <c r="BF24" s="21">
        <f t="shared" si="15"/>
        <v>6.5</v>
      </c>
      <c r="BG24" s="21">
        <f t="shared" si="16"/>
        <v>30.139627791519086</v>
      </c>
      <c r="BH24" s="21">
        <f t="shared" si="17"/>
        <v>18.401122218708668</v>
      </c>
      <c r="BI24" s="21">
        <f t="shared" si="18"/>
        <v>22.402486271104557</v>
      </c>
      <c r="BJ24" s="22">
        <f t="shared" si="19"/>
        <v>0</v>
      </c>
      <c r="BK24" s="23">
        <f t="shared" si="20"/>
        <v>0.3333333333333333</v>
      </c>
      <c r="BL24" s="4" t="str">
        <f t="shared" si="21"/>
        <v> ---</v>
      </c>
      <c r="BM24" s="25" t="str">
        <f t="shared" si="22"/>
        <v>  --</v>
      </c>
      <c r="BN24" s="21" t="str">
        <f t="shared" si="23"/>
        <v> ---</v>
      </c>
      <c r="BO24" s="27" t="str">
        <f t="shared" si="24"/>
        <v>---</v>
      </c>
      <c r="BP24" s="235">
        <f t="shared" si="25"/>
        <v>0.017453292519943295</v>
      </c>
      <c r="BQ24" s="235">
        <f t="shared" si="26"/>
        <v>0.5773502691896257</v>
      </c>
      <c r="BR24" s="235">
        <f t="shared" si="27"/>
        <v>0</v>
      </c>
      <c r="BS24" s="204" t="s">
        <v>1</v>
      </c>
      <c r="BT24" s="247">
        <f t="shared" si="46"/>
        <v>11</v>
      </c>
      <c r="BU24" s="243">
        <f t="shared" si="45"/>
        <v>0</v>
      </c>
      <c r="BV24" s="243">
        <f t="shared" si="28"/>
        <v>0</v>
      </c>
      <c r="BW24" s="244">
        <f t="shared" si="29"/>
        <v>1</v>
      </c>
      <c r="BX24" s="244">
        <f t="shared" si="30"/>
        <v>1</v>
      </c>
      <c r="BY24" s="245">
        <f t="shared" si="31"/>
        <v>0.7500000000000001</v>
      </c>
      <c r="BZ24" s="244">
        <f t="shared" si="32"/>
        <v>1</v>
      </c>
      <c r="CA24" s="244">
        <f t="shared" si="33"/>
        <v>1</v>
      </c>
      <c r="CB24" s="244">
        <f t="shared" si="34"/>
        <v>0</v>
      </c>
      <c r="CC24" s="162">
        <f t="shared" si="35"/>
        <v>0.4999999999999999</v>
      </c>
      <c r="CD24" s="162">
        <f t="shared" si="36"/>
        <v>0.5000000000000001</v>
      </c>
      <c r="CE24" s="162">
        <f t="shared" si="37"/>
        <v>1.5</v>
      </c>
      <c r="CF24" s="246">
        <f t="shared" si="38"/>
        <v>0.3333333333333334</v>
      </c>
      <c r="CG24" s="162">
        <f t="shared" si="39"/>
        <v>0.4999999999999999</v>
      </c>
      <c r="CH24" s="162">
        <f t="shared" si="40"/>
        <v>0.5000000000000001</v>
      </c>
      <c r="CI24" s="162">
        <f t="shared" si="41"/>
        <v>1.5</v>
      </c>
      <c r="CJ24" s="246">
        <f t="shared" si="42"/>
        <v>0.3333333333333334</v>
      </c>
    </row>
    <row r="25" spans="1:88" ht="15.75">
      <c r="A25" s="45" t="s">
        <v>61</v>
      </c>
      <c r="B25" s="42">
        <v>15</v>
      </c>
      <c r="C25" s="10">
        <f t="shared" si="0"/>
        <v>38</v>
      </c>
      <c r="D25" s="150">
        <f>'INPUT AND RESULTS'!D25</f>
        <v>36</v>
      </c>
      <c r="E25" s="150">
        <f>'INPUT AND RESULTS'!E25</f>
        <v>2</v>
      </c>
      <c r="F25" s="150">
        <f>'INPUT AND RESULTS'!F25</f>
        <v>27</v>
      </c>
      <c r="G25" s="9">
        <f t="shared" si="1"/>
        <v>3.353786444528588</v>
      </c>
      <c r="H25" s="9">
        <f t="shared" si="2"/>
        <v>0.5963408920275249</v>
      </c>
      <c r="I25" s="9">
        <f t="shared" si="3"/>
        <v>1.932650569465885</v>
      </c>
      <c r="J25" s="9">
        <f t="shared" si="43"/>
        <v>1.0507584733911963</v>
      </c>
      <c r="K25" s="150">
        <f>'INPUT AND RESULTS'!L25</f>
        <v>0</v>
      </c>
      <c r="L25" s="43">
        <f>'INPUT AND RESULTS'!M25</f>
        <v>200</v>
      </c>
      <c r="M25" s="151">
        <f>'INPUT AND RESULTS'!N25</f>
        <v>0</v>
      </c>
      <c r="N25" s="151">
        <f>'INPUT AND RESULTS'!O25</f>
        <v>1</v>
      </c>
      <c r="O25" s="150">
        <f>'INPUT AND RESULTS'!P25</f>
        <v>0</v>
      </c>
      <c r="P25" s="150">
        <f>'INPUT AND RESULTS'!Q25</f>
        <v>105</v>
      </c>
      <c r="Q25" s="150">
        <f>'INPUT AND RESULTS'!R25</f>
        <v>105</v>
      </c>
      <c r="R25" s="150">
        <f>'INPUT AND RESULTS'!S25</f>
        <v>30</v>
      </c>
      <c r="S25" s="150">
        <f>'INPUT AND RESULTS'!T25</f>
        <v>0</v>
      </c>
      <c r="T25" s="150">
        <f>'INPUT AND RESULTS'!U25</f>
        <v>105</v>
      </c>
      <c r="U25" s="150">
        <f>'INPUT AND RESULTS'!V25</f>
        <v>30</v>
      </c>
      <c r="V25" s="150">
        <f>'INPUT AND RESULTS'!W25</f>
        <v>0</v>
      </c>
      <c r="W25" s="150">
        <f>'INPUT AND RESULTS'!X25</f>
        <v>30</v>
      </c>
      <c r="X25" s="150">
        <f>'INPUT AND RESULTS'!Y25</f>
        <v>90</v>
      </c>
      <c r="Y25" s="150" t="str">
        <f>'INPUT AND RESULTS'!Z25</f>
        <v>I</v>
      </c>
      <c r="Z25" s="150">
        <f>'INPUT AND RESULTS'!AA25</f>
        <v>250</v>
      </c>
      <c r="AA25" s="150">
        <f>'INPUT AND RESULTS'!AB25</f>
        <v>250</v>
      </c>
      <c r="AB25" s="47" t="s">
        <v>61</v>
      </c>
      <c r="AC25" s="49">
        <f t="shared" si="4"/>
        <v>0.5</v>
      </c>
      <c r="AF25" s="104"/>
      <c r="AG25" s="24">
        <f t="shared" si="5"/>
        <v>8041.664490808122</v>
      </c>
      <c r="AH25" s="26">
        <f>V25*BG25*'Load and Resistance Factors'!$E$11+0.5*(F25-2*BD25)*T25*BI25*'Load and Resistance Factors'!$E$11*AC25+T25*E25*BH25*'Load and Resistance Factors'!$E$11</f>
        <v>8449.847103885733</v>
      </c>
      <c r="AI25" s="24">
        <v>0</v>
      </c>
      <c r="AJ25" s="21" t="str">
        <f t="shared" si="6"/>
        <v>---</v>
      </c>
      <c r="AK25" s="24">
        <f>(P25*C25*F25*'Load and Resistance Factors'!$B$7)</f>
        <v>145435.5</v>
      </c>
      <c r="AL25" s="24" t="str">
        <f>IF(K25=0,"---",IF(L25&gt;=F25,(0.5*P25*(AJ25-C25)*F25*'Load and Resistance Factors'!$B$7),(0.5*P25*(L25*(TAN(RADIANS(K25)))*L25*'Load and Resistance Factors'!$B$7))))</f>
        <v>---</v>
      </c>
      <c r="AM25" s="24" t="str">
        <f>IF(K25=0,"---",IF(L25&gt;=F25,"---",(P25*(L25*(TAN(RADIANS(K25))))*(F25-L25)*'Load and Resistance Factors'!$B$7)))</f>
        <v>---</v>
      </c>
      <c r="AN25" s="24">
        <f>IF(K25=0,Z25*F25*'Load and Resistance Factors'!$D$6,IF(L25&gt;=F25,Z25*F25*'Load and Resistance Factors'!$D$6,AA25*(F25-L25)*'Load and Resistance Factors'!$D$6))</f>
        <v>11812.5</v>
      </c>
      <c r="AO25" s="21">
        <f t="shared" si="7"/>
        <v>0</v>
      </c>
      <c r="AP25" s="24">
        <f t="shared" si="44"/>
        <v>25270</v>
      </c>
      <c r="AQ25" s="24" t="str">
        <f>IF(K25=0,"---",IF(L25&gt;=F25,AP25*M25*'Load and Resistance Factors'!$C$7,AP25*CB25*'Load and Resistance Factors'!$C$7))</f>
        <v>---</v>
      </c>
      <c r="AR25" s="24" t="str">
        <f>IF(K25=0,"---",IF(L25&gt;=F25,AP25*N25*'Load and Resistance Factors'!$C$7,AP25*BZ25*'Load and Resistance Factors'!$C$7))</f>
        <v>---</v>
      </c>
      <c r="AS25" s="24">
        <f t="shared" si="8"/>
        <v>3166.6666666666665</v>
      </c>
      <c r="AT25" s="24" t="str">
        <f>IF(K25=0,"---",IF(L25&gt;=F25,AS25*M25*'Load and Resistance Factors'!$E$7,AS25*CB25*'Load and Resistance Factors'!$E$7))</f>
        <v>---</v>
      </c>
      <c r="AU25" s="24" t="str">
        <f>IF(K25=0,"---",IF(L25&gt;=F25,AS25*N25*'Load and Resistance Factors'!$E$7,AS25*BZ25*'Load and Resistance Factors'!$E$7))</f>
        <v>---</v>
      </c>
      <c r="AV25" s="24">
        <f>IF(K25=0,(AP25*'Load and Resistance Factors'!$C$7+AS25*'Load and Resistance Factors'!$E$7),AR25+AU25)</f>
        <v>43446.666666666664</v>
      </c>
      <c r="AW25" s="34">
        <f>'Load and Resistance Factors'!$E$10*AX25*(TAN(RADIANS(W25)))</f>
        <v>83967.22507472782</v>
      </c>
      <c r="AX25" s="24">
        <f t="shared" si="9"/>
        <v>145435.5</v>
      </c>
      <c r="AY25" s="24">
        <f t="shared" si="10"/>
        <v>157248</v>
      </c>
      <c r="AZ25" s="24">
        <f t="shared" si="11"/>
        <v>1963379.25</v>
      </c>
      <c r="BA25" s="24">
        <f>IF(K25=0,AZ25+(Z25*F25*(F25/2)*'Load and Resistance Factors'!$D$7),IF(L25&gt;=F25,AZ25+(AN25*(F25/2)),AZ25+(AN25*(L25+((F25-L25)/2)))))</f>
        <v>2122848</v>
      </c>
      <c r="BB25" s="24">
        <f>IF(K25=0,(AP25*'Load and Resistance Factors'!$C$7*(C25/3))+(AS25*'Load and Resistance Factors'!$E$7*(C25/2)),IF(L25&gt;=F25,(AR25*(AJ25/3))+(AU25*(AJ25/2)),(AR25*(AJ25/3))+(AU25*(AJ25/2))))</f>
        <v>585421.6666666666</v>
      </c>
      <c r="BC25" s="21">
        <f t="shared" si="12"/>
        <v>4.025301021185793</v>
      </c>
      <c r="BD25" s="21">
        <f t="shared" si="13"/>
        <v>3.7229196343779662</v>
      </c>
      <c r="BE25" s="21">
        <f t="shared" si="14"/>
        <v>19.554160731244068</v>
      </c>
      <c r="BF25" s="21">
        <f t="shared" si="15"/>
        <v>6.75</v>
      </c>
      <c r="BG25" s="21">
        <f t="shared" si="16"/>
        <v>30.139627791519086</v>
      </c>
      <c r="BH25" s="21">
        <f t="shared" si="17"/>
        <v>18.401122218708668</v>
      </c>
      <c r="BI25" s="21">
        <f t="shared" si="18"/>
        <v>22.402486271104557</v>
      </c>
      <c r="BJ25" s="22">
        <f t="shared" si="19"/>
        <v>0</v>
      </c>
      <c r="BK25" s="23">
        <f t="shared" si="20"/>
        <v>0.3333333333333333</v>
      </c>
      <c r="BL25" s="1" t="str">
        <f t="shared" si="21"/>
        <v> ---</v>
      </c>
      <c r="BM25" s="25" t="str">
        <f t="shared" si="22"/>
        <v>  --</v>
      </c>
      <c r="BN25" s="21" t="str">
        <f t="shared" si="23"/>
        <v> ---</v>
      </c>
      <c r="BO25" s="27" t="str">
        <f t="shared" si="24"/>
        <v>---</v>
      </c>
      <c r="BP25" s="192">
        <f t="shared" si="25"/>
        <v>0.017453292519943295</v>
      </c>
      <c r="BQ25" s="192">
        <f t="shared" si="26"/>
        <v>0.5773502691896257</v>
      </c>
      <c r="BR25" s="192">
        <f t="shared" si="27"/>
        <v>0</v>
      </c>
      <c r="BS25" s="3" t="s">
        <v>1</v>
      </c>
      <c r="BT25" s="247">
        <f t="shared" si="46"/>
        <v>12</v>
      </c>
      <c r="BU25" s="243">
        <f t="shared" si="45"/>
        <v>0</v>
      </c>
      <c r="BV25" s="243">
        <f t="shared" si="28"/>
        <v>0</v>
      </c>
      <c r="BW25" s="244">
        <f t="shared" si="29"/>
        <v>1</v>
      </c>
      <c r="BX25" s="244">
        <f t="shared" si="30"/>
        <v>1</v>
      </c>
      <c r="BY25" s="245">
        <f t="shared" si="31"/>
        <v>0.7500000000000001</v>
      </c>
      <c r="BZ25" s="244">
        <f t="shared" si="32"/>
        <v>1</v>
      </c>
      <c r="CA25" s="244">
        <f t="shared" si="33"/>
        <v>1</v>
      </c>
      <c r="CB25" s="244">
        <f t="shared" si="34"/>
        <v>0</v>
      </c>
      <c r="CC25" s="162">
        <f t="shared" si="35"/>
        <v>0.4999999999999999</v>
      </c>
      <c r="CD25" s="162">
        <f t="shared" si="36"/>
        <v>0.5000000000000001</v>
      </c>
      <c r="CE25" s="162">
        <f t="shared" si="37"/>
        <v>1.5</v>
      </c>
      <c r="CF25" s="246">
        <f t="shared" si="38"/>
        <v>0.3333333333333334</v>
      </c>
      <c r="CG25" s="162">
        <f t="shared" si="39"/>
        <v>0.4999999999999999</v>
      </c>
      <c r="CH25" s="162">
        <f t="shared" si="40"/>
        <v>0.5000000000000001</v>
      </c>
      <c r="CI25" s="162">
        <f t="shared" si="41"/>
        <v>1.5</v>
      </c>
      <c r="CJ25" s="246">
        <f t="shared" si="42"/>
        <v>0.3333333333333334</v>
      </c>
    </row>
    <row r="26" spans="1:88" ht="15.75">
      <c r="A26" s="45" t="s">
        <v>61</v>
      </c>
      <c r="B26" s="42">
        <v>16</v>
      </c>
      <c r="C26" s="10">
        <f t="shared" si="0"/>
        <v>40</v>
      </c>
      <c r="D26" s="150">
        <f>'INPUT AND RESULTS'!D26</f>
        <v>38</v>
      </c>
      <c r="E26" s="150">
        <f>'INPUT AND RESULTS'!E26</f>
        <v>2</v>
      </c>
      <c r="F26" s="150">
        <f>'INPUT AND RESULTS'!F26</f>
        <v>28</v>
      </c>
      <c r="G26" s="9">
        <f t="shared" si="1"/>
        <v>3.284689655172414</v>
      </c>
      <c r="H26" s="9">
        <f t="shared" si="2"/>
        <v>0.6088855295204502</v>
      </c>
      <c r="I26" s="9">
        <f t="shared" si="3"/>
        <v>1.9162396251542504</v>
      </c>
      <c r="J26" s="9">
        <f t="shared" si="43"/>
        <v>1.0127025301805794</v>
      </c>
      <c r="K26" s="150">
        <f>'INPUT AND RESULTS'!L26</f>
        <v>0</v>
      </c>
      <c r="L26" s="43">
        <f>'INPUT AND RESULTS'!M26</f>
        <v>200</v>
      </c>
      <c r="M26" s="151">
        <f>'INPUT AND RESULTS'!N26</f>
        <v>0</v>
      </c>
      <c r="N26" s="151">
        <f>'INPUT AND RESULTS'!O26</f>
        <v>1</v>
      </c>
      <c r="O26" s="150">
        <f>'INPUT AND RESULTS'!P26</f>
        <v>0</v>
      </c>
      <c r="P26" s="150">
        <f>'INPUT AND RESULTS'!Q26</f>
        <v>105</v>
      </c>
      <c r="Q26" s="150">
        <f>'INPUT AND RESULTS'!R26</f>
        <v>105</v>
      </c>
      <c r="R26" s="150">
        <f>'INPUT AND RESULTS'!S26</f>
        <v>30</v>
      </c>
      <c r="S26" s="150">
        <f>'INPUT AND RESULTS'!T26</f>
        <v>0</v>
      </c>
      <c r="T26" s="150">
        <f>'INPUT AND RESULTS'!U26</f>
        <v>105</v>
      </c>
      <c r="U26" s="150">
        <f>'INPUT AND RESULTS'!V26</f>
        <v>30</v>
      </c>
      <c r="V26" s="150">
        <f>'INPUT AND RESULTS'!W26</f>
        <v>0</v>
      </c>
      <c r="W26" s="150">
        <f>'INPUT AND RESULTS'!X26</f>
        <v>30</v>
      </c>
      <c r="X26" s="150">
        <f>'INPUT AND RESULTS'!Y26</f>
        <v>90</v>
      </c>
      <c r="Y26" s="150" t="str">
        <f>'INPUT AND RESULTS'!Z26</f>
        <v>I</v>
      </c>
      <c r="Z26" s="150">
        <f>'INPUT AND RESULTS'!AA26</f>
        <v>250</v>
      </c>
      <c r="AA26" s="150">
        <f>'INPUT AND RESULTS'!AB26</f>
        <v>250</v>
      </c>
      <c r="AB26" s="47" t="s">
        <v>61</v>
      </c>
      <c r="AC26" s="49">
        <f t="shared" si="4"/>
        <v>0.5</v>
      </c>
      <c r="AF26" s="104"/>
      <c r="AG26" s="24">
        <f t="shared" si="5"/>
        <v>8513.791606662498</v>
      </c>
      <c r="AH26" s="26">
        <f>V26*BG26*'Load and Resistance Factors'!$E$11+0.5*(F26-2*BD26)*T26*BI26*'Load and Resistance Factors'!$E$11*AC26+T26*E26*BH26*'Load and Resistance Factors'!$E$11</f>
        <v>8621.938301497292</v>
      </c>
      <c r="AI26" s="24">
        <v>0</v>
      </c>
      <c r="AJ26" s="21" t="str">
        <f t="shared" si="6"/>
        <v>---</v>
      </c>
      <c r="AK26" s="24">
        <f>(P26*C26*F26*'Load and Resistance Factors'!$B$7)</f>
        <v>158760</v>
      </c>
      <c r="AL26" s="24" t="str">
        <f>IF(K26=0,"---",IF(L26&gt;=F26,(0.5*P26*(AJ26-C26)*F26*'Load and Resistance Factors'!$B$7),(0.5*P26*(L26*(TAN(RADIANS(K26)))*L26*'Load and Resistance Factors'!$B$7))))</f>
        <v>---</v>
      </c>
      <c r="AM26" s="24" t="str">
        <f>IF(K26=0,"---",IF(L26&gt;=F26,"---",(P26*(L26*(TAN(RADIANS(K26))))*(F26-L26)*'Load and Resistance Factors'!$B$7)))</f>
        <v>---</v>
      </c>
      <c r="AN26" s="24">
        <f>IF(K26=0,Z26*F26*'Load and Resistance Factors'!$D$6,IF(L26&gt;=F26,Z26*F26*'Load and Resistance Factors'!$D$6,AA26*(F26-L26)*'Load and Resistance Factors'!$D$6))</f>
        <v>12250</v>
      </c>
      <c r="AO26" s="21">
        <f t="shared" si="7"/>
        <v>0</v>
      </c>
      <c r="AP26" s="24">
        <f t="shared" si="44"/>
        <v>28000</v>
      </c>
      <c r="AQ26" s="24" t="str">
        <f>IF(K26=0,"---",IF(L26&gt;=F26,AP26*M26*'Load and Resistance Factors'!$C$7,AP26*CB26*'Load and Resistance Factors'!$C$7))</f>
        <v>---</v>
      </c>
      <c r="AR26" s="24" t="str">
        <f>IF(K26=0,"---",IF(L26&gt;=F26,AP26*N26*'Load and Resistance Factors'!$C$7,AP26*BZ26*'Load and Resistance Factors'!$C$7))</f>
        <v>---</v>
      </c>
      <c r="AS26" s="24">
        <f t="shared" si="8"/>
        <v>3333.333333333333</v>
      </c>
      <c r="AT26" s="24" t="str">
        <f>IF(K26=0,"---",IF(L26&gt;=F26,AS26*M26*'Load and Resistance Factors'!$E$7,AS26*CB26*'Load and Resistance Factors'!$E$7))</f>
        <v>---</v>
      </c>
      <c r="AU26" s="24" t="str">
        <f>IF(K26=0,"---",IF(L26&gt;=F26,AS26*N26*'Load and Resistance Factors'!$E$7,AS26*BZ26*'Load and Resistance Factors'!$E$7))</f>
        <v>---</v>
      </c>
      <c r="AV26" s="24">
        <f>IF(K26=0,(AP26*'Load and Resistance Factors'!$C$7+AS26*'Load and Resistance Factors'!$E$7),AR26+AU26)</f>
        <v>47833.333333333336</v>
      </c>
      <c r="AW26" s="34">
        <f>'Load and Resistance Factors'!$E$10*AX26*(TAN(RADIANS(W26)))</f>
        <v>91660.12873654498</v>
      </c>
      <c r="AX26" s="24">
        <f t="shared" si="9"/>
        <v>158760</v>
      </c>
      <c r="AY26" s="24">
        <f t="shared" si="10"/>
        <v>171010</v>
      </c>
      <c r="AZ26" s="24">
        <f t="shared" si="11"/>
        <v>2222640</v>
      </c>
      <c r="BA26" s="24">
        <f>IF(K26=0,AZ26+(Z26*F26*(F26/2)*'Load and Resistance Factors'!$D$7),IF(L26&gt;=F26,AZ26+(AN26*(F26/2)),AZ26+(AN26*(L26+((F26-L26)/2)))))</f>
        <v>2394140</v>
      </c>
      <c r="BB26" s="24">
        <f>IF(K26=0,(AP26*'Load and Resistance Factors'!$C$7*(C26/3))+(AS26*'Load and Resistance Factors'!$E$7*(C26/2)),IF(L26&gt;=F26,(AR26*(AJ26/3))+(AU26*(AJ26/2)),(AR26*(AJ26/3))+(AU26*(AJ26/2))))</f>
        <v>676666.6666666666</v>
      </c>
      <c r="BC26" s="21">
        <f t="shared" si="12"/>
        <v>4.262198706643151</v>
      </c>
      <c r="BD26" s="21">
        <f t="shared" si="13"/>
        <v>3.95688361304407</v>
      </c>
      <c r="BE26" s="21">
        <f t="shared" si="14"/>
        <v>20.08623277391186</v>
      </c>
      <c r="BF26" s="21">
        <f t="shared" si="15"/>
        <v>7</v>
      </c>
      <c r="BG26" s="21">
        <f t="shared" si="16"/>
        <v>30.139627791519086</v>
      </c>
      <c r="BH26" s="21">
        <f t="shared" si="17"/>
        <v>18.401122218708668</v>
      </c>
      <c r="BI26" s="21">
        <f t="shared" si="18"/>
        <v>22.402486271104557</v>
      </c>
      <c r="BJ26" s="22">
        <f t="shared" si="19"/>
        <v>0</v>
      </c>
      <c r="BK26" s="23">
        <f t="shared" si="20"/>
        <v>0.3333333333333333</v>
      </c>
      <c r="BL26" s="4" t="str">
        <f t="shared" si="21"/>
        <v> ---</v>
      </c>
      <c r="BM26" s="25" t="str">
        <f t="shared" si="22"/>
        <v>  --</v>
      </c>
      <c r="BN26" s="21" t="str">
        <f t="shared" si="23"/>
        <v> ---</v>
      </c>
      <c r="BO26" s="27" t="str">
        <f t="shared" si="24"/>
        <v>---</v>
      </c>
      <c r="BP26" s="235">
        <f t="shared" si="25"/>
        <v>0.017453292519943295</v>
      </c>
      <c r="BQ26" s="235">
        <f t="shared" si="26"/>
        <v>0.5773502691896257</v>
      </c>
      <c r="BR26" s="235">
        <f t="shared" si="27"/>
        <v>0</v>
      </c>
      <c r="BS26" s="204" t="s">
        <v>1</v>
      </c>
      <c r="BT26" s="247">
        <f t="shared" si="46"/>
        <v>13</v>
      </c>
      <c r="BU26" s="243">
        <f t="shared" si="45"/>
        <v>0</v>
      </c>
      <c r="BV26" s="243">
        <f t="shared" si="28"/>
        <v>0</v>
      </c>
      <c r="BW26" s="244">
        <f t="shared" si="29"/>
        <v>1</v>
      </c>
      <c r="BX26" s="244">
        <f t="shared" si="30"/>
        <v>1</v>
      </c>
      <c r="BY26" s="245">
        <f t="shared" si="31"/>
        <v>0.7500000000000001</v>
      </c>
      <c r="BZ26" s="244">
        <f t="shared" si="32"/>
        <v>1</v>
      </c>
      <c r="CA26" s="244">
        <f t="shared" si="33"/>
        <v>1</v>
      </c>
      <c r="CB26" s="244">
        <f t="shared" si="34"/>
        <v>0</v>
      </c>
      <c r="CC26" s="162">
        <f t="shared" si="35"/>
        <v>0.4999999999999999</v>
      </c>
      <c r="CD26" s="162">
        <f t="shared" si="36"/>
        <v>0.5000000000000001</v>
      </c>
      <c r="CE26" s="162">
        <f t="shared" si="37"/>
        <v>1.5</v>
      </c>
      <c r="CF26" s="246">
        <f t="shared" si="38"/>
        <v>0.3333333333333334</v>
      </c>
      <c r="CG26" s="162">
        <f t="shared" si="39"/>
        <v>0.4999999999999999</v>
      </c>
      <c r="CH26" s="162">
        <f t="shared" si="40"/>
        <v>0.5000000000000001</v>
      </c>
      <c r="CI26" s="162">
        <f t="shared" si="41"/>
        <v>1.5</v>
      </c>
      <c r="CJ26" s="246">
        <f t="shared" si="42"/>
        <v>0.3333333333333334</v>
      </c>
    </row>
    <row r="27" spans="1:88" ht="15.75">
      <c r="A27" s="45" t="s">
        <v>61</v>
      </c>
      <c r="B27" s="42">
        <v>17</v>
      </c>
      <c r="C27" s="10">
        <f t="shared" si="0"/>
        <v>42</v>
      </c>
      <c r="D27" s="150">
        <f>'INPUT AND RESULTS'!D27</f>
        <v>40</v>
      </c>
      <c r="E27" s="150">
        <f>'INPUT AND RESULTS'!E27</f>
        <v>2</v>
      </c>
      <c r="F27" s="150">
        <f>'INPUT AND RESULTS'!F27</f>
        <v>30</v>
      </c>
      <c r="G27" s="9">
        <f t="shared" si="1"/>
        <v>3.448438978240303</v>
      </c>
      <c r="H27" s="9">
        <f t="shared" si="2"/>
        <v>0.5799725651577503</v>
      </c>
      <c r="I27" s="9">
        <f t="shared" si="3"/>
        <v>1.9667679730805474</v>
      </c>
      <c r="J27" s="9">
        <f t="shared" si="43"/>
        <v>1.051487977650921</v>
      </c>
      <c r="K27" s="150">
        <f>'INPUT AND RESULTS'!L27</f>
        <v>0</v>
      </c>
      <c r="L27" s="43">
        <f>'INPUT AND RESULTS'!M27</f>
        <v>200</v>
      </c>
      <c r="M27" s="151">
        <f>'INPUT AND RESULTS'!N27</f>
        <v>0</v>
      </c>
      <c r="N27" s="151">
        <f>'INPUT AND RESULTS'!O27</f>
        <v>1</v>
      </c>
      <c r="O27" s="150">
        <f>'INPUT AND RESULTS'!P27</f>
        <v>0</v>
      </c>
      <c r="P27" s="150">
        <f>'INPUT AND RESULTS'!Q27</f>
        <v>105</v>
      </c>
      <c r="Q27" s="150">
        <f>'INPUT AND RESULTS'!R27</f>
        <v>105</v>
      </c>
      <c r="R27" s="150">
        <f>'INPUT AND RESULTS'!S27</f>
        <v>30</v>
      </c>
      <c r="S27" s="150">
        <f>'INPUT AND RESULTS'!T27</f>
        <v>0</v>
      </c>
      <c r="T27" s="150">
        <f>'INPUT AND RESULTS'!U27</f>
        <v>105</v>
      </c>
      <c r="U27" s="150">
        <f>'INPUT AND RESULTS'!V27</f>
        <v>30</v>
      </c>
      <c r="V27" s="150">
        <f>'INPUT AND RESULTS'!W27</f>
        <v>0</v>
      </c>
      <c r="W27" s="150">
        <f>'INPUT AND RESULTS'!X27</f>
        <v>30</v>
      </c>
      <c r="X27" s="150">
        <f>'INPUT AND RESULTS'!Y27</f>
        <v>90</v>
      </c>
      <c r="Y27" s="150" t="str">
        <f>'INPUT AND RESULTS'!Z27</f>
        <v>I</v>
      </c>
      <c r="Z27" s="150">
        <f>'INPUT AND RESULTS'!AA27</f>
        <v>250</v>
      </c>
      <c r="AA27" s="150">
        <f>'INPUT AND RESULTS'!AB27</f>
        <v>250</v>
      </c>
      <c r="AB27" s="47" t="s">
        <v>61</v>
      </c>
      <c r="AC27" s="49">
        <f t="shared" si="4"/>
        <v>0.5</v>
      </c>
      <c r="AF27" s="104"/>
      <c r="AG27" s="24">
        <f t="shared" si="5"/>
        <v>8756.414886699014</v>
      </c>
      <c r="AH27" s="26">
        <f>V27*BG27*'Load and Resistance Factors'!$E$11+0.5*(F27-2*BD27)*T27*BI27*'Load and Resistance Factors'!$E$11*AC27+T27*E27*BH27*'Load and Resistance Factors'!$E$11</f>
        <v>9207.264980687565</v>
      </c>
      <c r="AI27" s="24">
        <v>0</v>
      </c>
      <c r="AJ27" s="21" t="str">
        <f t="shared" si="6"/>
        <v>---</v>
      </c>
      <c r="AK27" s="24">
        <f>(P27*C27*F27*'Load and Resistance Factors'!$B$7)</f>
        <v>178605</v>
      </c>
      <c r="AL27" s="24" t="str">
        <f>IF(K27=0,"---",IF(L27&gt;=F27,(0.5*P27*(AJ27-C27)*F27*'Load and Resistance Factors'!$B$7),(0.5*P27*(L27*(TAN(RADIANS(K27)))*L27*'Load and Resistance Factors'!$B$7))))</f>
        <v>---</v>
      </c>
      <c r="AM27" s="24" t="str">
        <f>IF(K27=0,"---",IF(L27&gt;=F27,"---",(P27*(L27*(TAN(RADIANS(K27))))*(F27-L27)*'Load and Resistance Factors'!$B$7)))</f>
        <v>---</v>
      </c>
      <c r="AN27" s="24">
        <f>IF(K27=0,Z27*F27*'Load and Resistance Factors'!$D$6,IF(L27&gt;=F27,Z27*F27*'Load and Resistance Factors'!$D$6,AA27*(F27-L27)*'Load and Resistance Factors'!$D$6))</f>
        <v>13125</v>
      </c>
      <c r="AO27" s="21">
        <f t="shared" si="7"/>
        <v>0</v>
      </c>
      <c r="AP27" s="24">
        <f t="shared" si="44"/>
        <v>30870</v>
      </c>
      <c r="AQ27" s="24" t="str">
        <f>IF(K27=0,"---",IF(L27&gt;=F27,AP27*M27*'Load and Resistance Factors'!$C$7,AP27*CB27*'Load and Resistance Factors'!$C$7))</f>
        <v>---</v>
      </c>
      <c r="AR27" s="24" t="str">
        <f>IF(K27=0,"---",IF(L27&gt;=F27,AP27*N27*'Load and Resistance Factors'!$C$7,AP27*BZ27*'Load and Resistance Factors'!$C$7))</f>
        <v>---</v>
      </c>
      <c r="AS27" s="24">
        <f t="shared" si="8"/>
        <v>3500</v>
      </c>
      <c r="AT27" s="24" t="str">
        <f>IF(K27=0,"---",IF(L27&gt;=F27,AS27*M27*'Load and Resistance Factors'!$E$7,AS27*CB27*'Load and Resistance Factors'!$E$7))</f>
        <v>---</v>
      </c>
      <c r="AU27" s="24" t="str">
        <f>IF(K27=0,"---",IF(L27&gt;=F27,AS27*N27*'Load and Resistance Factors'!$E$7,AS27*BZ27*'Load and Resistance Factors'!$E$7))</f>
        <v>---</v>
      </c>
      <c r="AV27" s="24">
        <f>IF(K27=0,(AP27*'Load and Resistance Factors'!$C$7+AS27*'Load and Resistance Factors'!$E$7),AR27+AU27)</f>
        <v>52430</v>
      </c>
      <c r="AW27" s="34">
        <f>'Load and Resistance Factors'!$E$10*AX27*(TAN(RADIANS(W27)))</f>
        <v>103117.6448286131</v>
      </c>
      <c r="AX27" s="24">
        <f t="shared" si="9"/>
        <v>178605</v>
      </c>
      <c r="AY27" s="24">
        <f t="shared" si="10"/>
        <v>191730</v>
      </c>
      <c r="AZ27" s="24">
        <f t="shared" si="11"/>
        <v>2679075</v>
      </c>
      <c r="BA27" s="24">
        <f>IF(K27=0,AZ27+(Z27*F27*(F27/2)*'Load and Resistance Factors'!$D$7),IF(L27&gt;=F27,AZ27+(AN27*(F27/2)),AZ27+(AN27*(L27+((F27-L27)/2)))))</f>
        <v>2875950</v>
      </c>
      <c r="BB27" s="24">
        <f>IF(K27=0,(AP27*'Load and Resistance Factors'!$C$7*(C27/3))+(AS27*'Load and Resistance Factors'!$E$7*(C27/2)),IF(L27&gt;=F27,(AR27*(AJ27/3))+(AU27*(AJ27/2)),(AR27*(AJ27/3))+(AU27*(AJ27/2))))</f>
        <v>776895</v>
      </c>
      <c r="BC27" s="21">
        <f t="shared" si="12"/>
        <v>4.349794238683128</v>
      </c>
      <c r="BD27" s="21">
        <f t="shared" si="13"/>
        <v>4.052026286966045</v>
      </c>
      <c r="BE27" s="21">
        <f t="shared" si="14"/>
        <v>21.89594742606791</v>
      </c>
      <c r="BF27" s="21">
        <f t="shared" si="15"/>
        <v>7.5</v>
      </c>
      <c r="BG27" s="21">
        <f t="shared" si="16"/>
        <v>30.139627791519086</v>
      </c>
      <c r="BH27" s="21">
        <f t="shared" si="17"/>
        <v>18.401122218708668</v>
      </c>
      <c r="BI27" s="21">
        <f t="shared" si="18"/>
        <v>22.402486271104557</v>
      </c>
      <c r="BJ27" s="22">
        <f t="shared" si="19"/>
        <v>0</v>
      </c>
      <c r="BK27" s="23">
        <f t="shared" si="20"/>
        <v>0.3333333333333333</v>
      </c>
      <c r="BL27" s="4" t="str">
        <f t="shared" si="21"/>
        <v> ---</v>
      </c>
      <c r="BM27" s="25" t="str">
        <f t="shared" si="22"/>
        <v>  --</v>
      </c>
      <c r="BN27" s="21" t="str">
        <f t="shared" si="23"/>
        <v> ---</v>
      </c>
      <c r="BO27" s="27" t="str">
        <f t="shared" si="24"/>
        <v>---</v>
      </c>
      <c r="BP27" s="235">
        <f t="shared" si="25"/>
        <v>0.017453292519943295</v>
      </c>
      <c r="BQ27" s="235">
        <f t="shared" si="26"/>
        <v>0.5773502691896257</v>
      </c>
      <c r="BR27" s="235">
        <f t="shared" si="27"/>
        <v>0</v>
      </c>
      <c r="BS27" s="204" t="s">
        <v>1</v>
      </c>
      <c r="BT27" s="247">
        <f t="shared" si="46"/>
        <v>14</v>
      </c>
      <c r="BU27" s="243">
        <f t="shared" si="45"/>
        <v>0</v>
      </c>
      <c r="BV27" s="243">
        <f t="shared" si="28"/>
        <v>0</v>
      </c>
      <c r="BW27" s="244">
        <f t="shared" si="29"/>
        <v>1</v>
      </c>
      <c r="BX27" s="244">
        <f t="shared" si="30"/>
        <v>1</v>
      </c>
      <c r="BY27" s="245">
        <f t="shared" si="31"/>
        <v>0.7500000000000001</v>
      </c>
      <c r="BZ27" s="244">
        <f t="shared" si="32"/>
        <v>1</v>
      </c>
      <c r="CA27" s="244">
        <f t="shared" si="33"/>
        <v>1</v>
      </c>
      <c r="CB27" s="244">
        <f t="shared" si="34"/>
        <v>0</v>
      </c>
      <c r="CC27" s="162">
        <f t="shared" si="35"/>
        <v>0.4999999999999999</v>
      </c>
      <c r="CD27" s="162">
        <f t="shared" si="36"/>
        <v>0.5000000000000001</v>
      </c>
      <c r="CE27" s="162">
        <f t="shared" si="37"/>
        <v>1.5</v>
      </c>
      <c r="CF27" s="246">
        <f t="shared" si="38"/>
        <v>0.3333333333333334</v>
      </c>
      <c r="CG27" s="162">
        <f t="shared" si="39"/>
        <v>0.4999999999999999</v>
      </c>
      <c r="CH27" s="162">
        <f t="shared" si="40"/>
        <v>0.5000000000000001</v>
      </c>
      <c r="CI27" s="162">
        <f t="shared" si="41"/>
        <v>1.5</v>
      </c>
      <c r="CJ27" s="246">
        <f t="shared" si="42"/>
        <v>0.3333333333333334</v>
      </c>
    </row>
    <row r="28" spans="1:88" ht="15.75">
      <c r="A28" s="45" t="s">
        <v>61</v>
      </c>
      <c r="B28" s="42">
        <v>18</v>
      </c>
      <c r="C28" s="10">
        <f t="shared" si="0"/>
        <v>44</v>
      </c>
      <c r="D28" s="150">
        <f>'INPUT AND RESULTS'!D28</f>
        <v>42</v>
      </c>
      <c r="E28" s="150">
        <f>'INPUT AND RESULTS'!E28</f>
        <v>2</v>
      </c>
      <c r="F28" s="150">
        <f>'INPUT AND RESULTS'!F28</f>
        <v>31</v>
      </c>
      <c r="G28" s="9">
        <f t="shared" si="1"/>
        <v>3.3804719166184136</v>
      </c>
      <c r="H28" s="9">
        <f t="shared" si="2"/>
        <v>0.5916333723016576</v>
      </c>
      <c r="I28" s="9">
        <f t="shared" si="3"/>
        <v>1.9503047434105159</v>
      </c>
      <c r="J28" s="9">
        <f t="shared" si="43"/>
        <v>1.0169000343962176</v>
      </c>
      <c r="K28" s="150">
        <f>'INPUT AND RESULTS'!L28</f>
        <v>0</v>
      </c>
      <c r="L28" s="43">
        <f>'INPUT AND RESULTS'!M28</f>
        <v>200</v>
      </c>
      <c r="M28" s="151">
        <f>'INPUT AND RESULTS'!N28</f>
        <v>0</v>
      </c>
      <c r="N28" s="151">
        <f>'INPUT AND RESULTS'!O28</f>
        <v>1</v>
      </c>
      <c r="O28" s="150">
        <f>'INPUT AND RESULTS'!P28</f>
        <v>0</v>
      </c>
      <c r="P28" s="150">
        <f>'INPUT AND RESULTS'!Q28</f>
        <v>105</v>
      </c>
      <c r="Q28" s="150">
        <f>'INPUT AND RESULTS'!R28</f>
        <v>105</v>
      </c>
      <c r="R28" s="150">
        <f>'INPUT AND RESULTS'!S28</f>
        <v>30</v>
      </c>
      <c r="S28" s="150">
        <f>'INPUT AND RESULTS'!T28</f>
        <v>0</v>
      </c>
      <c r="T28" s="150">
        <f>'INPUT AND RESULTS'!U28</f>
        <v>105</v>
      </c>
      <c r="U28" s="150">
        <f>'INPUT AND RESULTS'!V28</f>
        <v>30</v>
      </c>
      <c r="V28" s="150">
        <f>'INPUT AND RESULTS'!W28</f>
        <v>0</v>
      </c>
      <c r="W28" s="150">
        <f>'INPUT AND RESULTS'!X28</f>
        <v>30</v>
      </c>
      <c r="X28" s="150">
        <f>'INPUT AND RESULTS'!Y28</f>
        <v>90</v>
      </c>
      <c r="Y28" s="150" t="str">
        <f>'INPUT AND RESULTS'!Z28</f>
        <v>I</v>
      </c>
      <c r="Z28" s="150">
        <f>'INPUT AND RESULTS'!AA28</f>
        <v>250</v>
      </c>
      <c r="AA28" s="150">
        <f>'INPUT AND RESULTS'!AB28</f>
        <v>250</v>
      </c>
      <c r="AB28" s="47" t="s">
        <v>61</v>
      </c>
      <c r="AC28" s="49">
        <f t="shared" si="4"/>
        <v>0.5</v>
      </c>
      <c r="AD28" s="146"/>
      <c r="AF28" s="104"/>
      <c r="AG28" s="24">
        <f t="shared" si="5"/>
        <v>9224.356608182607</v>
      </c>
      <c r="AH28" s="26">
        <f>V28*BG28*'Load and Resistance Factors'!$E$11+0.5*(F28-2*BD28)*T28*BI28*'Load and Resistance Factors'!$E$11*AC28+T28*E28*BH28*'Load and Resistance Factors'!$E$11</f>
        <v>9380.248552143868</v>
      </c>
      <c r="AI28" s="24">
        <v>0</v>
      </c>
      <c r="AJ28" s="21" t="str">
        <f t="shared" si="6"/>
        <v>---</v>
      </c>
      <c r="AK28" s="24">
        <f>(P28*C28*F28*'Load and Resistance Factors'!$B$7)</f>
        <v>193347</v>
      </c>
      <c r="AL28" s="24" t="str">
        <f>IF(K28=0,"---",IF(L28&gt;=F28,(0.5*P28*(AJ28-C28)*F28*'Load and Resistance Factors'!$B$7),(0.5*P28*(L28*(TAN(RADIANS(K28)))*L28*'Load and Resistance Factors'!$B$7))))</f>
        <v>---</v>
      </c>
      <c r="AM28" s="24" t="str">
        <f>IF(K28=0,"---",IF(L28&gt;=F28,"---",(P28*(L28*(TAN(RADIANS(K28))))*(F28-L28)*'Load and Resistance Factors'!$B$7)))</f>
        <v>---</v>
      </c>
      <c r="AN28" s="24">
        <f>IF(K28=0,Z28*F28*'Load and Resistance Factors'!$D$6,IF(L28&gt;=F28,Z28*F28*'Load and Resistance Factors'!$D$6,AA28*(F28-L28)*'Load and Resistance Factors'!$D$6))</f>
        <v>13562.5</v>
      </c>
      <c r="AO28" s="21">
        <f t="shared" si="7"/>
        <v>0</v>
      </c>
      <c r="AP28" s="24">
        <f t="shared" si="44"/>
        <v>33880</v>
      </c>
      <c r="AQ28" s="24" t="str">
        <f>IF(K28=0,"---",IF(L28&gt;=F28,AP28*M28*'Load and Resistance Factors'!$C$7,AP28*CB28*'Load and Resistance Factors'!$C$7))</f>
        <v>---</v>
      </c>
      <c r="AR28" s="24" t="str">
        <f>IF(K28=0,"---",IF(L28&gt;=F28,AP28*N28*'Load and Resistance Factors'!$C$7,AP28*BZ28*'Load and Resistance Factors'!$C$7))</f>
        <v>---</v>
      </c>
      <c r="AS28" s="24">
        <f t="shared" si="8"/>
        <v>3666.6666666666665</v>
      </c>
      <c r="AT28" s="24" t="str">
        <f>IF(K28=0,"---",IF(L28&gt;=F28,AS28*M28*'Load and Resistance Factors'!$E$7,AS28*CB28*'Load and Resistance Factors'!$E$7))</f>
        <v>---</v>
      </c>
      <c r="AU28" s="24" t="str">
        <f>IF(K28=0,"---",IF(L28&gt;=F28,AS28*N28*'Load and Resistance Factors'!$E$7,AS28*BZ28*'Load and Resistance Factors'!$E$7))</f>
        <v>---</v>
      </c>
      <c r="AV28" s="24">
        <f>IF(K28=0,(AP28*'Load and Resistance Factors'!$C$7+AS28*'Load and Resistance Factors'!$E$7),AR28+AU28)</f>
        <v>57236.666666666664</v>
      </c>
      <c r="AW28" s="34">
        <f>'Load and Resistance Factors'!$E$10*AX28*(TAN(RADIANS(W28)))</f>
        <v>111628.94249700656</v>
      </c>
      <c r="AX28" s="24">
        <f t="shared" si="9"/>
        <v>193347</v>
      </c>
      <c r="AY28" s="24">
        <f t="shared" si="10"/>
        <v>206909.5</v>
      </c>
      <c r="AZ28" s="24">
        <f t="shared" si="11"/>
        <v>2996878.5</v>
      </c>
      <c r="BA28" s="24">
        <f>IF(K28=0,AZ28+(Z28*F28*(F28/2)*'Load and Resistance Factors'!$D$7),IF(L28&gt;=F28,AZ28+(AN28*(F28/2)),AZ28+(AN28*(L28+((F28-L28)/2)))))</f>
        <v>3207097.25</v>
      </c>
      <c r="BB28" s="24">
        <f>IF(K28=0,(AP28*'Load and Resistance Factors'!$C$7*(C28/3))+(AS28*'Load and Resistance Factors'!$E$7*(C28/2)),IF(L28&gt;=F28,(AR28*(AJ28/3))+(AU28*(AJ28/2)),(AR28*(AJ28/3))+(AU28*(AJ28/2))))</f>
        <v>886526.6666666666</v>
      </c>
      <c r="BC28" s="21">
        <f t="shared" si="12"/>
        <v>4.585158635337846</v>
      </c>
      <c r="BD28" s="21">
        <f t="shared" si="13"/>
        <v>4.284610743666514</v>
      </c>
      <c r="BE28" s="21">
        <f t="shared" si="14"/>
        <v>22.430778512666972</v>
      </c>
      <c r="BF28" s="21">
        <f t="shared" si="15"/>
        <v>7.75</v>
      </c>
      <c r="BG28" s="21">
        <f t="shared" si="16"/>
        <v>30.139627791519086</v>
      </c>
      <c r="BH28" s="21">
        <f t="shared" si="17"/>
        <v>18.401122218708668</v>
      </c>
      <c r="BI28" s="21">
        <f t="shared" si="18"/>
        <v>22.402486271104557</v>
      </c>
      <c r="BJ28" s="22">
        <f t="shared" si="19"/>
        <v>0</v>
      </c>
      <c r="BK28" s="23">
        <f t="shared" si="20"/>
        <v>0.3333333333333333</v>
      </c>
      <c r="BL28" s="1" t="str">
        <f t="shared" si="21"/>
        <v> ---</v>
      </c>
      <c r="BM28" s="25" t="str">
        <f t="shared" si="22"/>
        <v>  --</v>
      </c>
      <c r="BN28" s="21" t="str">
        <f t="shared" si="23"/>
        <v> ---</v>
      </c>
      <c r="BO28" s="27" t="str">
        <f t="shared" si="24"/>
        <v>---</v>
      </c>
      <c r="BP28" s="192">
        <f t="shared" si="25"/>
        <v>0.017453292519943295</v>
      </c>
      <c r="BQ28" s="192">
        <f t="shared" si="26"/>
        <v>0.5773502691896257</v>
      </c>
      <c r="BR28" s="192">
        <f t="shared" si="27"/>
        <v>0</v>
      </c>
      <c r="BS28" s="3" t="s">
        <v>1</v>
      </c>
      <c r="BT28" s="247">
        <f t="shared" si="46"/>
        <v>15</v>
      </c>
      <c r="BU28" s="243">
        <f t="shared" si="45"/>
        <v>0</v>
      </c>
      <c r="BV28" s="243">
        <f t="shared" si="28"/>
        <v>0</v>
      </c>
      <c r="BW28" s="244">
        <f t="shared" si="29"/>
        <v>1</v>
      </c>
      <c r="BX28" s="244">
        <f t="shared" si="30"/>
        <v>1</v>
      </c>
      <c r="BY28" s="245">
        <f t="shared" si="31"/>
        <v>0.7500000000000001</v>
      </c>
      <c r="BZ28" s="244">
        <f t="shared" si="32"/>
        <v>1</v>
      </c>
      <c r="CA28" s="244">
        <f t="shared" si="33"/>
        <v>1</v>
      </c>
      <c r="CB28" s="244">
        <f t="shared" si="34"/>
        <v>0</v>
      </c>
      <c r="CC28" s="162">
        <f t="shared" si="35"/>
        <v>0.4999999999999999</v>
      </c>
      <c r="CD28" s="162">
        <f t="shared" si="36"/>
        <v>0.5000000000000001</v>
      </c>
      <c r="CE28" s="162">
        <f t="shared" si="37"/>
        <v>1.5</v>
      </c>
      <c r="CF28" s="246">
        <f t="shared" si="38"/>
        <v>0.3333333333333334</v>
      </c>
      <c r="CG28" s="162">
        <f t="shared" si="39"/>
        <v>0.4999999999999999</v>
      </c>
      <c r="CH28" s="162">
        <f t="shared" si="40"/>
        <v>0.5000000000000001</v>
      </c>
      <c r="CI28" s="162">
        <f t="shared" si="41"/>
        <v>1.5</v>
      </c>
      <c r="CJ28" s="246">
        <f t="shared" si="42"/>
        <v>0.3333333333333334</v>
      </c>
    </row>
    <row r="29" spans="1:88" ht="15.75">
      <c r="A29" s="45" t="s">
        <v>61</v>
      </c>
      <c r="B29" s="42">
        <v>19</v>
      </c>
      <c r="C29" s="10">
        <f t="shared" si="0"/>
        <v>46</v>
      </c>
      <c r="D29" s="150">
        <f>'INPUT AND RESULTS'!D29</f>
        <v>44</v>
      </c>
      <c r="E29" s="150">
        <f>'INPUT AND RESULTS'!E29</f>
        <v>2</v>
      </c>
      <c r="F29" s="150">
        <f>'INPUT AND RESULTS'!F29</f>
        <v>33</v>
      </c>
      <c r="G29" s="9">
        <f t="shared" si="1"/>
        <v>3.529301146972526</v>
      </c>
      <c r="H29" s="9">
        <f t="shared" si="2"/>
        <v>0.5666844275149551</v>
      </c>
      <c r="I29" s="9">
        <f t="shared" si="3"/>
        <v>1.9955912968239693</v>
      </c>
      <c r="J29" s="9">
        <f t="shared" si="43"/>
        <v>1.051849802401791</v>
      </c>
      <c r="K29" s="150">
        <f>'INPUT AND RESULTS'!L29</f>
        <v>0</v>
      </c>
      <c r="L29" s="43">
        <f>'INPUT AND RESULTS'!M29</f>
        <v>200</v>
      </c>
      <c r="M29" s="151">
        <f>'INPUT AND RESULTS'!N29</f>
        <v>0</v>
      </c>
      <c r="N29" s="151">
        <f>'INPUT AND RESULTS'!O29</f>
        <v>1</v>
      </c>
      <c r="O29" s="150">
        <f>'INPUT AND RESULTS'!P29</f>
        <v>0</v>
      </c>
      <c r="P29" s="150">
        <f>'INPUT AND RESULTS'!Q29</f>
        <v>105</v>
      </c>
      <c r="Q29" s="150">
        <f>'INPUT AND RESULTS'!R29</f>
        <v>105</v>
      </c>
      <c r="R29" s="150">
        <f>'INPUT AND RESULTS'!S29</f>
        <v>30</v>
      </c>
      <c r="S29" s="150">
        <f>'INPUT AND RESULTS'!T29</f>
        <v>0</v>
      </c>
      <c r="T29" s="150">
        <f>'INPUT AND RESULTS'!U29</f>
        <v>105</v>
      </c>
      <c r="U29" s="150">
        <f>'INPUT AND RESULTS'!V29</f>
        <v>30</v>
      </c>
      <c r="V29" s="150">
        <f>'INPUT AND RESULTS'!W29</f>
        <v>0</v>
      </c>
      <c r="W29" s="150">
        <f>'INPUT AND RESULTS'!X29</f>
        <v>30</v>
      </c>
      <c r="X29" s="150">
        <f>'INPUT AND RESULTS'!Y29</f>
        <v>90</v>
      </c>
      <c r="Y29" s="150" t="str">
        <f>'INPUT AND RESULTS'!Z29</f>
        <v>I</v>
      </c>
      <c r="Z29" s="150">
        <f>'INPUT AND RESULTS'!AA29</f>
        <v>250</v>
      </c>
      <c r="AA29" s="150">
        <f>'INPUT AND RESULTS'!AB29</f>
        <v>250</v>
      </c>
      <c r="AB29" s="47" t="s">
        <v>61</v>
      </c>
      <c r="AC29" s="49">
        <f t="shared" si="4"/>
        <v>0.5</v>
      </c>
      <c r="AD29" s="146"/>
      <c r="AE29" s="149"/>
      <c r="AF29" s="82"/>
      <c r="AG29" s="24">
        <f t="shared" si="5"/>
        <v>9473.4518583489</v>
      </c>
      <c r="AH29" s="26">
        <f>V29*BG29*'Load and Resistance Factors'!$E$11+0.5*(F29-2*BD29)*T29*BI29*'Load and Resistance Factors'!$E$11*AC29+T29*E29*BH29*'Load and Resistance Factors'!$E$11</f>
        <v>9964.648465267172</v>
      </c>
      <c r="AI29" s="24">
        <v>0</v>
      </c>
      <c r="AJ29" s="21" t="str">
        <f t="shared" si="6"/>
        <v>---</v>
      </c>
      <c r="AK29" s="24">
        <f>(P29*C29*F29*'Load and Resistance Factors'!$B$7)</f>
        <v>215176.5</v>
      </c>
      <c r="AL29" s="24" t="str">
        <f>IF(K29=0,"---",IF(L29&gt;=F29,(0.5*P29*(AJ29-C29)*F29*'Load and Resistance Factors'!$B$7),(0.5*P29*(L29*(TAN(RADIANS(K29)))*L29*'Load and Resistance Factors'!$B$7))))</f>
        <v>---</v>
      </c>
      <c r="AM29" s="24" t="str">
        <f>IF(K29=0,"---",IF(L29&gt;=F29,"---",(P29*(L29*(TAN(RADIANS(K29))))*(F29-L29)*'Load and Resistance Factors'!$B$7)))</f>
        <v>---</v>
      </c>
      <c r="AN29" s="24">
        <f>IF(K29=0,Z29*F29*'Load and Resistance Factors'!$D$6,IF(L29&gt;=F29,Z29*F29*'Load and Resistance Factors'!$D$6,AA29*(F29-L29)*'Load and Resistance Factors'!$D$6))</f>
        <v>14437.5</v>
      </c>
      <c r="AO29" s="21">
        <f t="shared" si="7"/>
        <v>0</v>
      </c>
      <c r="AP29" s="24">
        <f t="shared" si="44"/>
        <v>37030</v>
      </c>
      <c r="AQ29" s="24" t="str">
        <f>IF(K29=0,"---",IF(L29&gt;=F29,AP29*M29*'Load and Resistance Factors'!$C$7,AP29*CB29*'Load and Resistance Factors'!$C$7))</f>
        <v>---</v>
      </c>
      <c r="AR29" s="24" t="str">
        <f>IF(K29=0,"---",IF(L29&gt;=F29,AP29*N29*'Load and Resistance Factors'!$C$7,AP29*BZ29*'Load and Resistance Factors'!$C$7))</f>
        <v>---</v>
      </c>
      <c r="AS29" s="24">
        <f t="shared" si="8"/>
        <v>3833.333333333333</v>
      </c>
      <c r="AT29" s="24" t="str">
        <f>IF(K29=0,"---",IF(L29&gt;=F29,AS29*M29*'Load and Resistance Factors'!$E$7,AS29*CB29*'Load and Resistance Factors'!$E$7))</f>
        <v>---</v>
      </c>
      <c r="AU29" s="24" t="str">
        <f>IF(K29=0,"---",IF(L29&gt;=F29,AS29*N29*'Load and Resistance Factors'!$E$7,AS29*BZ29*'Load and Resistance Factors'!$E$7))</f>
        <v>---</v>
      </c>
      <c r="AV29" s="24">
        <f>IF(K29=0,(AP29*'Load and Resistance Factors'!$C$7+AS29*'Load and Resistance Factors'!$E$7),AR29+AU29)</f>
        <v>62253.333333333336</v>
      </c>
      <c r="AW29" s="34">
        <f>'Load and Resistance Factors'!$E$10*AX29*(TAN(RADIANS(W29)))</f>
        <v>124232.21019828151</v>
      </c>
      <c r="AX29" s="24">
        <f t="shared" si="9"/>
        <v>215176.5</v>
      </c>
      <c r="AY29" s="24">
        <f t="shared" si="10"/>
        <v>229614</v>
      </c>
      <c r="AZ29" s="24">
        <f t="shared" si="11"/>
        <v>3550412.25</v>
      </c>
      <c r="BA29" s="24">
        <f>IF(K29=0,AZ29+(Z29*F29*(F29/2)*'Load and Resistance Factors'!$D$7),IF(L29&gt;=F29,AZ29+(AN29*(F29/2)),AZ29+(AN29*(L29+((F29-L29)/2)))))</f>
        <v>3788631</v>
      </c>
      <c r="BB29" s="24">
        <f>IF(K29=0,(AP29*'Load and Resistance Factors'!$C$7*(C29/3))+(AS29*'Load and Resistance Factors'!$E$7*(C29/2)),IF(L29&gt;=F29,(AR29*(AJ29/3))+(AU29*(AJ29/2)),(AR29*(AJ29/3))+(AU29*(AJ29/2))))</f>
        <v>1005981.6666666666</v>
      </c>
      <c r="BC29" s="21">
        <f t="shared" si="12"/>
        <v>4.675146526998379</v>
      </c>
      <c r="BD29" s="21">
        <f t="shared" si="13"/>
        <v>4.381186106538218</v>
      </c>
      <c r="BE29" s="21">
        <f t="shared" si="14"/>
        <v>24.237627786923564</v>
      </c>
      <c r="BF29" s="21">
        <f t="shared" si="15"/>
        <v>8.25</v>
      </c>
      <c r="BG29" s="21">
        <f t="shared" si="16"/>
        <v>30.139627791519086</v>
      </c>
      <c r="BH29" s="21">
        <f t="shared" si="17"/>
        <v>18.401122218708668</v>
      </c>
      <c r="BI29" s="21">
        <f t="shared" si="18"/>
        <v>22.402486271104557</v>
      </c>
      <c r="BJ29" s="22">
        <f t="shared" si="19"/>
        <v>0</v>
      </c>
      <c r="BK29" s="23">
        <f t="shared" si="20"/>
        <v>0.3333333333333333</v>
      </c>
      <c r="BL29" s="4" t="str">
        <f t="shared" si="21"/>
        <v> ---</v>
      </c>
      <c r="BM29" s="25" t="str">
        <f t="shared" si="22"/>
        <v>  --</v>
      </c>
      <c r="BN29" s="21" t="str">
        <f t="shared" si="23"/>
        <v> ---</v>
      </c>
      <c r="BO29" s="27" t="str">
        <f t="shared" si="24"/>
        <v>---</v>
      </c>
      <c r="BP29" s="235">
        <f t="shared" si="25"/>
        <v>0.017453292519943295</v>
      </c>
      <c r="BQ29" s="235">
        <f t="shared" si="26"/>
        <v>0.5773502691896257</v>
      </c>
      <c r="BR29" s="235">
        <f t="shared" si="27"/>
        <v>0</v>
      </c>
      <c r="BS29" s="204" t="s">
        <v>1</v>
      </c>
      <c r="BT29" s="247">
        <f t="shared" si="46"/>
        <v>16</v>
      </c>
      <c r="BU29" s="243">
        <f t="shared" si="45"/>
        <v>0</v>
      </c>
      <c r="BV29" s="243">
        <f t="shared" si="28"/>
        <v>0</v>
      </c>
      <c r="BW29" s="244">
        <f t="shared" si="29"/>
        <v>1</v>
      </c>
      <c r="BX29" s="244">
        <f t="shared" si="30"/>
        <v>1</v>
      </c>
      <c r="BY29" s="245">
        <f t="shared" si="31"/>
        <v>0.7500000000000001</v>
      </c>
      <c r="BZ29" s="244">
        <f t="shared" si="32"/>
        <v>1</v>
      </c>
      <c r="CA29" s="244">
        <f t="shared" si="33"/>
        <v>1</v>
      </c>
      <c r="CB29" s="244">
        <f t="shared" si="34"/>
        <v>0</v>
      </c>
      <c r="CC29" s="162">
        <f t="shared" si="35"/>
        <v>0.4999999999999999</v>
      </c>
      <c r="CD29" s="162">
        <f t="shared" si="36"/>
        <v>0.5000000000000001</v>
      </c>
      <c r="CE29" s="162">
        <f t="shared" si="37"/>
        <v>1.5</v>
      </c>
      <c r="CF29" s="246">
        <f t="shared" si="38"/>
        <v>0.3333333333333334</v>
      </c>
      <c r="CG29" s="162">
        <f t="shared" si="39"/>
        <v>0.4999999999999999</v>
      </c>
      <c r="CH29" s="162">
        <f t="shared" si="40"/>
        <v>0.5000000000000001</v>
      </c>
      <c r="CI29" s="162">
        <f t="shared" si="41"/>
        <v>1.5</v>
      </c>
      <c r="CJ29" s="246">
        <f t="shared" si="42"/>
        <v>0.3333333333333334</v>
      </c>
    </row>
    <row r="30" spans="1:88" ht="15.75">
      <c r="A30" s="45" t="s">
        <v>61</v>
      </c>
      <c r="B30" s="42">
        <v>20</v>
      </c>
      <c r="C30" s="10">
        <f t="shared" si="0"/>
        <v>48</v>
      </c>
      <c r="D30" s="150">
        <f>'INPUT AND RESULTS'!D30</f>
        <v>46</v>
      </c>
      <c r="E30" s="150">
        <f>'INPUT AND RESULTS'!E30</f>
        <v>2</v>
      </c>
      <c r="F30" s="150">
        <f>'INPUT AND RESULTS'!F30</f>
        <v>34</v>
      </c>
      <c r="G30" s="9">
        <f t="shared" si="1"/>
        <v>3.4628698224852075</v>
      </c>
      <c r="H30" s="9">
        <f t="shared" si="2"/>
        <v>0.5775556409927805</v>
      </c>
      <c r="I30" s="9">
        <f t="shared" si="3"/>
        <v>1.979281296284103</v>
      </c>
      <c r="J30" s="9">
        <f t="shared" si="43"/>
        <v>1.0201636514926005</v>
      </c>
      <c r="K30" s="150">
        <f>'INPUT AND RESULTS'!L30</f>
        <v>0</v>
      </c>
      <c r="L30" s="43">
        <f>'INPUT AND RESULTS'!M30</f>
        <v>200</v>
      </c>
      <c r="M30" s="151">
        <f>'INPUT AND RESULTS'!N30</f>
        <v>0</v>
      </c>
      <c r="N30" s="151">
        <f>'INPUT AND RESULTS'!O30</f>
        <v>1</v>
      </c>
      <c r="O30" s="150">
        <f>'INPUT AND RESULTS'!P30</f>
        <v>0</v>
      </c>
      <c r="P30" s="150">
        <f>'INPUT AND RESULTS'!Q30</f>
        <v>105</v>
      </c>
      <c r="Q30" s="150">
        <f>'INPUT AND RESULTS'!R30</f>
        <v>105</v>
      </c>
      <c r="R30" s="150">
        <f>'INPUT AND RESULTS'!S30</f>
        <v>30</v>
      </c>
      <c r="S30" s="150">
        <f>'INPUT AND RESULTS'!T30</f>
        <v>0</v>
      </c>
      <c r="T30" s="150">
        <f>'INPUT AND RESULTS'!U30</f>
        <v>105</v>
      </c>
      <c r="U30" s="150">
        <f>'INPUT AND RESULTS'!V30</f>
        <v>30</v>
      </c>
      <c r="V30" s="150">
        <f>'INPUT AND RESULTS'!W30</f>
        <v>0</v>
      </c>
      <c r="W30" s="150">
        <f>'INPUT AND RESULTS'!X30</f>
        <v>30</v>
      </c>
      <c r="X30" s="150">
        <f>'INPUT AND RESULTS'!Y30</f>
        <v>90</v>
      </c>
      <c r="Y30" s="150" t="str">
        <f>'INPUT AND RESULTS'!Z30</f>
        <v>I</v>
      </c>
      <c r="Z30" s="150">
        <f>'INPUT AND RESULTS'!AA30</f>
        <v>250</v>
      </c>
      <c r="AA30" s="150">
        <f>'INPUT AND RESULTS'!AB30</f>
        <v>250</v>
      </c>
      <c r="AB30" s="47" t="s">
        <v>61</v>
      </c>
      <c r="AC30" s="49">
        <f t="shared" si="4"/>
        <v>0.5</v>
      </c>
      <c r="AF30" s="82"/>
      <c r="AG30" s="24">
        <f t="shared" si="5"/>
        <v>9937.984423951288</v>
      </c>
      <c r="AH30" s="26">
        <f>V30*BG30*'Load and Resistance Factors'!$E$11+0.5*(F30-2*BD30)*T30*BI30*'Load and Resistance Factors'!$E$11*AC30+T30*E30*BH30*'Load and Resistance Factors'!$E$11</f>
        <v>10138.370478414734</v>
      </c>
      <c r="AI30" s="24">
        <v>0</v>
      </c>
      <c r="AJ30" s="21" t="str">
        <f t="shared" si="6"/>
        <v>---</v>
      </c>
      <c r="AK30" s="24">
        <f>(P30*C30*F30*'Load and Resistance Factors'!$B$7)</f>
        <v>231336.00000000003</v>
      </c>
      <c r="AL30" s="24" t="str">
        <f>IF(K30=0,"---",IF(L30&gt;=F30,(0.5*P30*(AJ30-C30)*F30*'Load and Resistance Factors'!$B$7),(0.5*P30*(L30*(TAN(RADIANS(K30)))*L30*'Load and Resistance Factors'!$B$7))))</f>
        <v>---</v>
      </c>
      <c r="AM30" s="24" t="str">
        <f>IF(K30=0,"---",IF(L30&gt;=F30,"---",(P30*(L30*(TAN(RADIANS(K30))))*(F30-L30)*'Load and Resistance Factors'!$B$7)))</f>
        <v>---</v>
      </c>
      <c r="AN30" s="24">
        <f>IF(K30=0,Z30*F30*'Load and Resistance Factors'!$D$6,IF(L30&gt;=F30,Z30*F30*'Load and Resistance Factors'!$D$6,AA30*(F30-L30)*'Load and Resistance Factors'!$D$6))</f>
        <v>14875</v>
      </c>
      <c r="AO30" s="21">
        <f t="shared" si="7"/>
        <v>0</v>
      </c>
      <c r="AP30" s="24">
        <f t="shared" si="44"/>
        <v>40320</v>
      </c>
      <c r="AQ30" s="24" t="str">
        <f>IF(K30=0,"---",IF(L30&gt;=F30,AP30*M30*'Load and Resistance Factors'!$C$7,AP30*CB30*'Load and Resistance Factors'!$C$7))</f>
        <v>---</v>
      </c>
      <c r="AR30" s="24" t="str">
        <f>IF(K30=0,"---",IF(L30&gt;=F30,AP30*N30*'Load and Resistance Factors'!$C$7,AP30*BZ30*'Load and Resistance Factors'!$C$7))</f>
        <v>---</v>
      </c>
      <c r="AS30" s="24">
        <f t="shared" si="8"/>
        <v>4000</v>
      </c>
      <c r="AT30" s="24" t="str">
        <f>IF(K30=0,"---",IF(L30&gt;=F30,AS30*M30*'Load and Resistance Factors'!$E$7,AS30*CB30*'Load and Resistance Factors'!$E$7))</f>
        <v>---</v>
      </c>
      <c r="AU30" s="24" t="str">
        <f>IF(K30=0,"---",IF(L30&gt;=F30,AS30*N30*'Load and Resistance Factors'!$E$7,AS30*BZ30*'Load and Resistance Factors'!$E$7))</f>
        <v>---</v>
      </c>
      <c r="AV30" s="24">
        <f>IF(K30=0,(AP30*'Load and Resistance Factors'!$C$7+AS30*'Load and Resistance Factors'!$E$7),AR30+AU30)</f>
        <v>67480</v>
      </c>
      <c r="AW30" s="34">
        <f>'Load and Resistance Factors'!$E$10*AX30*(TAN(RADIANS(W30)))</f>
        <v>133561.90187325128</v>
      </c>
      <c r="AX30" s="24">
        <f t="shared" si="9"/>
        <v>231336.00000000003</v>
      </c>
      <c r="AY30" s="24">
        <f t="shared" si="10"/>
        <v>246211.00000000003</v>
      </c>
      <c r="AZ30" s="24">
        <f t="shared" si="11"/>
        <v>3932712.0000000005</v>
      </c>
      <c r="BA30" s="24">
        <f>IF(K30=0,AZ30+(Z30*F30*(F30/2)*'Load and Resistance Factors'!$D$7),IF(L30&gt;=F30,AZ30+(AN30*(F30/2)),AZ30+(AN30*(L30+((F30-L30)/2)))))</f>
        <v>4185587.0000000005</v>
      </c>
      <c r="BB30" s="24">
        <f>IF(K30=0,(AP30*'Load and Resistance Factors'!$C$7*(C30/3))+(AS30*'Load and Resistance Factors'!$E$7*(C30/2)),IF(L30&gt;=F30,(AR30*(AJ30/3))+(AU30*(AJ30/2)),(AR30*(AJ30/3))+(AU30*(AJ30/2))))</f>
        <v>1135680</v>
      </c>
      <c r="BC30" s="21">
        <f t="shared" si="12"/>
        <v>4.909222948438634</v>
      </c>
      <c r="BD30" s="21">
        <f t="shared" si="13"/>
        <v>4.612629005202853</v>
      </c>
      <c r="BE30" s="21">
        <f t="shared" si="14"/>
        <v>24.774741989594293</v>
      </c>
      <c r="BF30" s="21">
        <f t="shared" si="15"/>
        <v>8.5</v>
      </c>
      <c r="BG30" s="21">
        <f t="shared" si="16"/>
        <v>30.139627791519086</v>
      </c>
      <c r="BH30" s="21">
        <f t="shared" si="17"/>
        <v>18.401122218708668</v>
      </c>
      <c r="BI30" s="21">
        <f t="shared" si="18"/>
        <v>22.402486271104557</v>
      </c>
      <c r="BJ30" s="22">
        <f t="shared" si="19"/>
        <v>0</v>
      </c>
      <c r="BK30" s="23">
        <f t="shared" si="20"/>
        <v>0.3333333333333333</v>
      </c>
      <c r="BL30" s="5" t="str">
        <f t="shared" si="21"/>
        <v> ---</v>
      </c>
      <c r="BM30" s="25" t="str">
        <f t="shared" si="22"/>
        <v>  --</v>
      </c>
      <c r="BN30" s="21" t="str">
        <f t="shared" si="23"/>
        <v> ---</v>
      </c>
      <c r="BO30" s="27" t="str">
        <f t="shared" si="24"/>
        <v>---</v>
      </c>
      <c r="BP30" s="236">
        <f t="shared" si="25"/>
        <v>0.017453292519943295</v>
      </c>
      <c r="BQ30" s="236">
        <f t="shared" si="26"/>
        <v>0.5773502691896257</v>
      </c>
      <c r="BR30" s="236">
        <f t="shared" si="27"/>
        <v>0</v>
      </c>
      <c r="BS30" s="6" t="s">
        <v>1</v>
      </c>
      <c r="BT30" s="247">
        <f t="shared" si="46"/>
        <v>17</v>
      </c>
      <c r="BU30" s="243">
        <f t="shared" si="45"/>
        <v>0</v>
      </c>
      <c r="BV30" s="243">
        <f t="shared" si="28"/>
        <v>0</v>
      </c>
      <c r="BW30" s="244">
        <f t="shared" si="29"/>
        <v>1</v>
      </c>
      <c r="BX30" s="244">
        <f t="shared" si="30"/>
        <v>1</v>
      </c>
      <c r="BY30" s="245">
        <f t="shared" si="31"/>
        <v>0.7500000000000001</v>
      </c>
      <c r="BZ30" s="244">
        <f t="shared" si="32"/>
        <v>1</v>
      </c>
      <c r="CA30" s="244">
        <f t="shared" si="33"/>
        <v>1</v>
      </c>
      <c r="CB30" s="244">
        <f t="shared" si="34"/>
        <v>0</v>
      </c>
      <c r="CC30" s="162">
        <f t="shared" si="35"/>
        <v>0.4999999999999999</v>
      </c>
      <c r="CD30" s="162">
        <f t="shared" si="36"/>
        <v>0.5000000000000001</v>
      </c>
      <c r="CE30" s="162">
        <f t="shared" si="37"/>
        <v>1.5</v>
      </c>
      <c r="CF30" s="246">
        <f t="shared" si="38"/>
        <v>0.3333333333333334</v>
      </c>
      <c r="CG30" s="162">
        <f t="shared" si="39"/>
        <v>0.4999999999999999</v>
      </c>
      <c r="CH30" s="162">
        <f t="shared" si="40"/>
        <v>0.5000000000000001</v>
      </c>
      <c r="CI30" s="162">
        <f t="shared" si="41"/>
        <v>1.5</v>
      </c>
      <c r="CJ30" s="246">
        <f t="shared" si="42"/>
        <v>0.3333333333333334</v>
      </c>
    </row>
    <row r="31" spans="1:74" ht="15.75" hidden="1">
      <c r="A31" s="45" t="s">
        <v>61</v>
      </c>
      <c r="C31" s="50"/>
      <c r="D31" s="51"/>
      <c r="E31" s="51"/>
      <c r="F31" s="52"/>
      <c r="G31" s="122"/>
      <c r="H31" s="123"/>
      <c r="I31" s="122"/>
      <c r="J31" s="122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124"/>
      <c r="Z31" s="53"/>
      <c r="AA31" s="53"/>
      <c r="AB31" s="47" t="s">
        <v>61</v>
      </c>
      <c r="AF31" s="84"/>
      <c r="AG31" s="84"/>
      <c r="AH31" s="84"/>
      <c r="AI31" s="84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8"/>
      <c r="BK31" s="2"/>
      <c r="BL31" s="8"/>
      <c r="BM31" s="2"/>
      <c r="BN31" s="2"/>
      <c r="BO31" s="2"/>
      <c r="BP31" s="192"/>
      <c r="BQ31" s="192"/>
      <c r="BR31" s="192"/>
      <c r="BS31" s="3"/>
      <c r="BT31" s="247">
        <f t="shared" si="46"/>
        <v>18</v>
      </c>
      <c r="BU31" s="237"/>
      <c r="BV31" s="238"/>
    </row>
    <row r="32" spans="1:74" ht="15.75" hidden="1">
      <c r="A32" s="45" t="s">
        <v>61</v>
      </c>
      <c r="B32" s="54" t="s">
        <v>209</v>
      </c>
      <c r="C32" s="55"/>
      <c r="D32" s="56"/>
      <c r="E32" s="56"/>
      <c r="F32" s="55"/>
      <c r="G32" s="125"/>
      <c r="H32" s="126"/>
      <c r="I32" s="127"/>
      <c r="J32" s="127"/>
      <c r="K32" s="57" t="str">
        <f>'INPUT AND RESULTS'!L32</f>
        <v>Yes</v>
      </c>
      <c r="L32" s="47"/>
      <c r="M32" s="47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124"/>
      <c r="Z32" s="53"/>
      <c r="AA32" s="53"/>
      <c r="AB32" s="47" t="s">
        <v>61</v>
      </c>
      <c r="AF32" s="84"/>
      <c r="AG32" s="84"/>
      <c r="AH32" s="84"/>
      <c r="AI32" s="84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8"/>
      <c r="BP32" s="192"/>
      <c r="BQ32" s="192"/>
      <c r="BR32" s="192"/>
      <c r="BS32" s="3"/>
      <c r="BT32" s="247">
        <f t="shared" si="46"/>
        <v>19</v>
      </c>
      <c r="BU32" s="237"/>
      <c r="BV32" s="237"/>
    </row>
    <row r="33" spans="1:74" ht="15.75" hidden="1">
      <c r="A33" s="45"/>
      <c r="B33" s="47"/>
      <c r="D33" s="47"/>
      <c r="E33" s="47"/>
      <c r="F33" s="47"/>
      <c r="K33" s="47"/>
      <c r="L33" s="47"/>
      <c r="M33" s="47"/>
      <c r="N33" s="47"/>
      <c r="O33" s="47"/>
      <c r="S33" s="51"/>
      <c r="T33" s="51"/>
      <c r="U33" s="51"/>
      <c r="V33" s="51"/>
      <c r="W33" s="51"/>
      <c r="X33" s="51"/>
      <c r="Y33" s="124"/>
      <c r="Z33" s="53"/>
      <c r="AA33" s="53"/>
      <c r="AF33" s="84"/>
      <c r="AG33" s="84"/>
      <c r="AH33" s="84"/>
      <c r="AI33" s="84"/>
      <c r="AJ33" s="7"/>
      <c r="AK33" s="7"/>
      <c r="AL33" s="7"/>
      <c r="AM33" s="7"/>
      <c r="AN33" s="7"/>
      <c r="AO33" s="16" t="s">
        <v>52</v>
      </c>
      <c r="AP33" s="20" t="s">
        <v>53</v>
      </c>
      <c r="AQ33" s="17" t="s">
        <v>54</v>
      </c>
      <c r="AR33" s="17"/>
      <c r="AS33" s="19"/>
      <c r="AT33" s="17"/>
      <c r="AU33" s="17"/>
      <c r="AV33" s="28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8"/>
      <c r="BP33" s="192"/>
      <c r="BQ33" s="192"/>
      <c r="BR33" s="192"/>
      <c r="BS33" s="3"/>
      <c r="BT33" s="247">
        <f t="shared" si="46"/>
        <v>20</v>
      </c>
      <c r="BU33" s="237"/>
      <c r="BV33" s="237"/>
    </row>
    <row r="34" spans="1:74" ht="15.75">
      <c r="A34" s="45"/>
      <c r="B34" s="60"/>
      <c r="C34" s="61"/>
      <c r="D34" s="62"/>
      <c r="E34" s="62"/>
      <c r="F34" s="61"/>
      <c r="G34" s="134"/>
      <c r="H34" s="135"/>
      <c r="I34" s="136"/>
      <c r="J34" s="136"/>
      <c r="K34" s="47"/>
      <c r="L34" s="47"/>
      <c r="M34" s="47"/>
      <c r="N34" s="47"/>
      <c r="O34" s="152"/>
      <c r="P34" s="51"/>
      <c r="Q34" s="51"/>
      <c r="R34" s="51"/>
      <c r="S34" s="51"/>
      <c r="T34" s="51"/>
      <c r="U34" s="51"/>
      <c r="V34" s="51"/>
      <c r="W34" s="51"/>
      <c r="X34" s="51"/>
      <c r="Y34" s="124"/>
      <c r="Z34" s="53"/>
      <c r="AA34" s="53"/>
      <c r="AF34" s="84"/>
      <c r="AG34" s="84"/>
      <c r="AH34" s="84"/>
      <c r="AI34" s="84"/>
      <c r="AJ34" s="7"/>
      <c r="AK34" s="7"/>
      <c r="AL34" s="7"/>
      <c r="AM34" s="7"/>
      <c r="AN34" s="7"/>
      <c r="AO34" s="16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8"/>
      <c r="BN34" s="11"/>
      <c r="BO34" s="11"/>
      <c r="BP34" s="192"/>
      <c r="BQ34" s="192"/>
      <c r="BR34" s="192"/>
      <c r="BS34" s="3"/>
      <c r="BT34" s="247">
        <f t="shared" si="46"/>
        <v>21</v>
      </c>
      <c r="BU34" s="237"/>
      <c r="BV34" s="237"/>
    </row>
    <row r="35" spans="72:74" ht="12.75">
      <c r="BT35" s="247" t="e">
        <f>#REF!+1</f>
        <v>#REF!</v>
      </c>
      <c r="BU35" s="237"/>
      <c r="BV35" s="237"/>
    </row>
    <row r="36" spans="72:74" ht="12.75">
      <c r="BT36" s="247" t="e">
        <f aca="true" t="shared" si="47" ref="BT36:BT41">BT35+1</f>
        <v>#REF!</v>
      </c>
      <c r="BU36" s="237"/>
      <c r="BV36" s="237"/>
    </row>
    <row r="37" spans="72:74" ht="12.75">
      <c r="BT37" s="247" t="e">
        <f t="shared" si="47"/>
        <v>#REF!</v>
      </c>
      <c r="BU37" s="237"/>
      <c r="BV37" s="237"/>
    </row>
    <row r="38" spans="72:74" ht="12.75">
      <c r="BT38" s="247" t="e">
        <f t="shared" si="47"/>
        <v>#REF!</v>
      </c>
      <c r="BU38" s="237"/>
      <c r="BV38" s="237"/>
    </row>
    <row r="39" spans="72:74" ht="12.75">
      <c r="BT39" s="247" t="e">
        <f t="shared" si="47"/>
        <v>#REF!</v>
      </c>
      <c r="BU39" s="237"/>
      <c r="BV39" s="237"/>
    </row>
    <row r="40" spans="72:74" ht="12.75">
      <c r="BT40" s="247" t="e">
        <f t="shared" si="47"/>
        <v>#REF!</v>
      </c>
      <c r="BU40" s="237"/>
      <c r="BV40" s="237"/>
    </row>
    <row r="41" spans="72:74" ht="12.75">
      <c r="BT41" s="247" t="e">
        <f t="shared" si="47"/>
        <v>#REF!</v>
      </c>
      <c r="BU41" s="237"/>
      <c r="BV41" s="237"/>
    </row>
    <row r="42" spans="72:74" ht="12.75">
      <c r="BT42" s="247" t="e">
        <f aca="true" t="shared" si="48" ref="BT42:BT105">BT41+1</f>
        <v>#REF!</v>
      </c>
      <c r="BU42" s="237"/>
      <c r="BV42" s="237"/>
    </row>
    <row r="43" spans="72:74" ht="12.75">
      <c r="BT43" s="247" t="e">
        <f t="shared" si="48"/>
        <v>#REF!</v>
      </c>
      <c r="BU43" s="237"/>
      <c r="BV43" s="237"/>
    </row>
    <row r="44" spans="72:74" ht="12.75">
      <c r="BT44" s="247" t="e">
        <f t="shared" si="48"/>
        <v>#REF!</v>
      </c>
      <c r="BU44" s="237"/>
      <c r="BV44" s="237"/>
    </row>
    <row r="45" spans="72:74" ht="12.75">
      <c r="BT45" s="247" t="e">
        <f t="shared" si="48"/>
        <v>#REF!</v>
      </c>
      <c r="BU45" s="237"/>
      <c r="BV45" s="237"/>
    </row>
    <row r="46" spans="72:74" ht="12.75">
      <c r="BT46" s="247" t="e">
        <f t="shared" si="48"/>
        <v>#REF!</v>
      </c>
      <c r="BU46" s="237"/>
      <c r="BV46" s="237"/>
    </row>
    <row r="47" spans="72:74" ht="12.75">
      <c r="BT47" s="247" t="e">
        <f t="shared" si="48"/>
        <v>#REF!</v>
      </c>
      <c r="BU47" s="237"/>
      <c r="BV47" s="237"/>
    </row>
    <row r="48" spans="72:74" ht="12.75">
      <c r="BT48" s="247" t="e">
        <f t="shared" si="48"/>
        <v>#REF!</v>
      </c>
      <c r="BU48" s="237"/>
      <c r="BV48" s="237"/>
    </row>
    <row r="49" spans="72:74" ht="12.75">
      <c r="BT49" s="247" t="e">
        <f t="shared" si="48"/>
        <v>#REF!</v>
      </c>
      <c r="BU49" s="237"/>
      <c r="BV49" s="237"/>
    </row>
    <row r="50" spans="72:74" ht="12.75">
      <c r="BT50" s="247" t="e">
        <f t="shared" si="48"/>
        <v>#REF!</v>
      </c>
      <c r="BU50" s="237"/>
      <c r="BV50" s="237"/>
    </row>
    <row r="51" spans="72:74" ht="12.75">
      <c r="BT51" s="247" t="e">
        <f t="shared" si="48"/>
        <v>#REF!</v>
      </c>
      <c r="BU51" s="237"/>
      <c r="BV51" s="237"/>
    </row>
    <row r="52" spans="72:74" ht="12.75">
      <c r="BT52" s="247" t="e">
        <f t="shared" si="48"/>
        <v>#REF!</v>
      </c>
      <c r="BU52" s="237"/>
      <c r="BV52" s="237"/>
    </row>
    <row r="53" spans="72:74" ht="12.75">
      <c r="BT53" s="247" t="e">
        <f t="shared" si="48"/>
        <v>#REF!</v>
      </c>
      <c r="BU53" s="237"/>
      <c r="BV53" s="237"/>
    </row>
    <row r="54" spans="72:74" ht="12.75">
      <c r="BT54" s="247" t="e">
        <f t="shared" si="48"/>
        <v>#REF!</v>
      </c>
      <c r="BU54" s="237"/>
      <c r="BV54" s="237"/>
    </row>
    <row r="55" spans="72:74" ht="12.75">
      <c r="BT55" s="247" t="e">
        <f t="shared" si="48"/>
        <v>#REF!</v>
      </c>
      <c r="BU55" s="237"/>
      <c r="BV55" s="237"/>
    </row>
    <row r="56" spans="72:74" ht="12.75">
      <c r="BT56" s="247" t="e">
        <f t="shared" si="48"/>
        <v>#REF!</v>
      </c>
      <c r="BU56" s="237"/>
      <c r="BV56" s="237"/>
    </row>
    <row r="57" ht="12.75">
      <c r="BT57" s="247" t="e">
        <f t="shared" si="48"/>
        <v>#REF!</v>
      </c>
    </row>
    <row r="58" ht="12.75">
      <c r="BT58" s="247" t="e">
        <f t="shared" si="48"/>
        <v>#REF!</v>
      </c>
    </row>
    <row r="59" ht="12.75">
      <c r="BT59" s="247" t="e">
        <f t="shared" si="48"/>
        <v>#REF!</v>
      </c>
    </row>
    <row r="60" ht="12.75">
      <c r="BT60" s="247" t="e">
        <f t="shared" si="48"/>
        <v>#REF!</v>
      </c>
    </row>
    <row r="61" ht="12.75">
      <c r="BT61" s="247" t="e">
        <f t="shared" si="48"/>
        <v>#REF!</v>
      </c>
    </row>
    <row r="62" ht="12.75">
      <c r="BT62" s="247" t="e">
        <f t="shared" si="48"/>
        <v>#REF!</v>
      </c>
    </row>
    <row r="63" ht="12.75">
      <c r="BT63" s="247" t="e">
        <f t="shared" si="48"/>
        <v>#REF!</v>
      </c>
    </row>
    <row r="64" ht="12.75">
      <c r="BT64" s="247" t="e">
        <f t="shared" si="48"/>
        <v>#REF!</v>
      </c>
    </row>
    <row r="65" ht="12.75">
      <c r="BT65" s="247" t="e">
        <f t="shared" si="48"/>
        <v>#REF!</v>
      </c>
    </row>
    <row r="66" ht="12.75">
      <c r="BT66" s="247" t="e">
        <f t="shared" si="48"/>
        <v>#REF!</v>
      </c>
    </row>
    <row r="67" ht="12.75">
      <c r="BT67" s="247" t="e">
        <f t="shared" si="48"/>
        <v>#REF!</v>
      </c>
    </row>
    <row r="68" ht="12.75">
      <c r="BT68" s="247" t="e">
        <f t="shared" si="48"/>
        <v>#REF!</v>
      </c>
    </row>
    <row r="69" ht="12.75">
      <c r="BT69" s="247" t="e">
        <f t="shared" si="48"/>
        <v>#REF!</v>
      </c>
    </row>
    <row r="70" ht="12.75">
      <c r="BT70" s="247" t="e">
        <f t="shared" si="48"/>
        <v>#REF!</v>
      </c>
    </row>
    <row r="71" ht="12.75">
      <c r="BT71" s="247" t="e">
        <f t="shared" si="48"/>
        <v>#REF!</v>
      </c>
    </row>
    <row r="72" ht="12.75">
      <c r="BT72" s="247" t="e">
        <f t="shared" si="48"/>
        <v>#REF!</v>
      </c>
    </row>
    <row r="73" ht="12.75">
      <c r="BT73" s="247" t="e">
        <f t="shared" si="48"/>
        <v>#REF!</v>
      </c>
    </row>
    <row r="74" ht="12.75">
      <c r="BT74" s="247" t="e">
        <f t="shared" si="48"/>
        <v>#REF!</v>
      </c>
    </row>
    <row r="75" ht="12.75">
      <c r="BT75" s="247" t="e">
        <f t="shared" si="48"/>
        <v>#REF!</v>
      </c>
    </row>
    <row r="76" ht="12.75">
      <c r="BT76" s="247" t="e">
        <f t="shared" si="48"/>
        <v>#REF!</v>
      </c>
    </row>
    <row r="77" ht="12.75">
      <c r="BT77" s="247" t="e">
        <f t="shared" si="48"/>
        <v>#REF!</v>
      </c>
    </row>
    <row r="78" ht="12.75">
      <c r="BT78" s="247" t="e">
        <f t="shared" si="48"/>
        <v>#REF!</v>
      </c>
    </row>
    <row r="79" ht="12.75">
      <c r="BT79" s="247" t="e">
        <f t="shared" si="48"/>
        <v>#REF!</v>
      </c>
    </row>
    <row r="80" ht="12.75">
      <c r="BT80" s="247" t="e">
        <f t="shared" si="48"/>
        <v>#REF!</v>
      </c>
    </row>
    <row r="81" ht="12.75">
      <c r="BT81" s="247" t="e">
        <f t="shared" si="48"/>
        <v>#REF!</v>
      </c>
    </row>
    <row r="82" ht="12.75">
      <c r="BT82" s="247" t="e">
        <f t="shared" si="48"/>
        <v>#REF!</v>
      </c>
    </row>
    <row r="83" ht="12.75">
      <c r="BT83" s="247" t="e">
        <f t="shared" si="48"/>
        <v>#REF!</v>
      </c>
    </row>
    <row r="84" ht="12.75">
      <c r="BT84" s="247" t="e">
        <f t="shared" si="48"/>
        <v>#REF!</v>
      </c>
    </row>
    <row r="85" ht="12.75">
      <c r="BT85" s="247" t="e">
        <f t="shared" si="48"/>
        <v>#REF!</v>
      </c>
    </row>
    <row r="86" ht="12.75">
      <c r="BT86" s="247" t="e">
        <f t="shared" si="48"/>
        <v>#REF!</v>
      </c>
    </row>
    <row r="87" ht="12.75">
      <c r="BT87" s="247" t="e">
        <f t="shared" si="48"/>
        <v>#REF!</v>
      </c>
    </row>
    <row r="88" ht="12.75">
      <c r="BT88" s="247" t="e">
        <f t="shared" si="48"/>
        <v>#REF!</v>
      </c>
    </row>
    <row r="89" ht="12.75">
      <c r="BT89" s="247" t="e">
        <f t="shared" si="48"/>
        <v>#REF!</v>
      </c>
    </row>
    <row r="90" ht="12.75">
      <c r="BT90" s="247" t="e">
        <f t="shared" si="48"/>
        <v>#REF!</v>
      </c>
    </row>
    <row r="91" ht="12.75">
      <c r="BT91" s="247" t="e">
        <f t="shared" si="48"/>
        <v>#REF!</v>
      </c>
    </row>
    <row r="92" ht="12.75">
      <c r="BT92" s="247" t="e">
        <f t="shared" si="48"/>
        <v>#REF!</v>
      </c>
    </row>
    <row r="93" ht="12.75">
      <c r="BT93" s="247" t="e">
        <f t="shared" si="48"/>
        <v>#REF!</v>
      </c>
    </row>
    <row r="94" ht="12.75">
      <c r="BT94" s="247" t="e">
        <f t="shared" si="48"/>
        <v>#REF!</v>
      </c>
    </row>
    <row r="95" ht="12.75">
      <c r="BT95" s="247" t="e">
        <f t="shared" si="48"/>
        <v>#REF!</v>
      </c>
    </row>
    <row r="96" ht="12.75">
      <c r="BT96" s="247" t="e">
        <f t="shared" si="48"/>
        <v>#REF!</v>
      </c>
    </row>
    <row r="97" ht="12.75">
      <c r="BT97" s="247" t="e">
        <f t="shared" si="48"/>
        <v>#REF!</v>
      </c>
    </row>
    <row r="98" ht="12.75">
      <c r="BT98" s="247" t="e">
        <f t="shared" si="48"/>
        <v>#REF!</v>
      </c>
    </row>
    <row r="99" ht="12.75">
      <c r="BT99" s="247" t="e">
        <f t="shared" si="48"/>
        <v>#REF!</v>
      </c>
    </row>
    <row r="100" ht="12.75">
      <c r="BT100" s="247" t="e">
        <f t="shared" si="48"/>
        <v>#REF!</v>
      </c>
    </row>
    <row r="101" ht="12.75">
      <c r="BT101" s="247" t="e">
        <f t="shared" si="48"/>
        <v>#REF!</v>
      </c>
    </row>
    <row r="102" ht="12.75">
      <c r="BT102" s="247" t="e">
        <f t="shared" si="48"/>
        <v>#REF!</v>
      </c>
    </row>
    <row r="103" ht="12.75">
      <c r="BT103" s="247" t="e">
        <f t="shared" si="48"/>
        <v>#REF!</v>
      </c>
    </row>
    <row r="104" ht="12.75">
      <c r="BT104" s="247" t="e">
        <f t="shared" si="48"/>
        <v>#REF!</v>
      </c>
    </row>
    <row r="105" ht="12.75">
      <c r="BT105" s="247" t="e">
        <f t="shared" si="48"/>
        <v>#REF!</v>
      </c>
    </row>
    <row r="106" ht="12.75">
      <c r="BT106" s="247" t="e">
        <f aca="true" t="shared" si="49" ref="BT106:BT126">BT105+1</f>
        <v>#REF!</v>
      </c>
    </row>
    <row r="107" ht="12.75">
      <c r="BT107" s="247" t="e">
        <f t="shared" si="49"/>
        <v>#REF!</v>
      </c>
    </row>
    <row r="108" ht="12.75">
      <c r="BT108" s="247" t="e">
        <f t="shared" si="49"/>
        <v>#REF!</v>
      </c>
    </row>
    <row r="109" ht="12.75">
      <c r="BT109" s="247" t="e">
        <f t="shared" si="49"/>
        <v>#REF!</v>
      </c>
    </row>
    <row r="110" ht="12.75">
      <c r="BT110" s="247" t="e">
        <f t="shared" si="49"/>
        <v>#REF!</v>
      </c>
    </row>
    <row r="111" ht="12.75">
      <c r="BT111" s="247" t="e">
        <f t="shared" si="49"/>
        <v>#REF!</v>
      </c>
    </row>
    <row r="112" ht="12.75">
      <c r="BT112" s="247" t="e">
        <f t="shared" si="49"/>
        <v>#REF!</v>
      </c>
    </row>
    <row r="113" ht="12.75">
      <c r="BT113" s="247" t="e">
        <f t="shared" si="49"/>
        <v>#REF!</v>
      </c>
    </row>
    <row r="114" ht="12.75">
      <c r="BT114" s="247" t="e">
        <f t="shared" si="49"/>
        <v>#REF!</v>
      </c>
    </row>
    <row r="115" ht="12.75">
      <c r="BT115" s="247" t="e">
        <f t="shared" si="49"/>
        <v>#REF!</v>
      </c>
    </row>
    <row r="116" ht="12.75">
      <c r="BT116" s="247" t="e">
        <f t="shared" si="49"/>
        <v>#REF!</v>
      </c>
    </row>
    <row r="117" ht="12.75">
      <c r="BT117" s="247" t="e">
        <f t="shared" si="49"/>
        <v>#REF!</v>
      </c>
    </row>
    <row r="118" ht="12.75">
      <c r="BT118" s="247" t="e">
        <f t="shared" si="49"/>
        <v>#REF!</v>
      </c>
    </row>
    <row r="119" ht="12.75">
      <c r="BT119" s="247" t="e">
        <f t="shared" si="49"/>
        <v>#REF!</v>
      </c>
    </row>
    <row r="120" ht="12.75">
      <c r="BT120" s="247" t="e">
        <f t="shared" si="49"/>
        <v>#REF!</v>
      </c>
    </row>
    <row r="121" ht="12.75">
      <c r="BT121" s="247" t="e">
        <f t="shared" si="49"/>
        <v>#REF!</v>
      </c>
    </row>
    <row r="122" ht="12.75">
      <c r="BT122" s="247" t="e">
        <f t="shared" si="49"/>
        <v>#REF!</v>
      </c>
    </row>
    <row r="123" ht="12.75">
      <c r="BT123" s="247" t="e">
        <f t="shared" si="49"/>
        <v>#REF!</v>
      </c>
    </row>
    <row r="124" ht="12.75">
      <c r="BT124" s="247" t="e">
        <f t="shared" si="49"/>
        <v>#REF!</v>
      </c>
    </row>
    <row r="125" ht="12.75">
      <c r="BT125" s="247" t="e">
        <f t="shared" si="49"/>
        <v>#REF!</v>
      </c>
    </row>
    <row r="126" ht="12.75">
      <c r="BT126" s="249" t="e">
        <f t="shared" si="49"/>
        <v>#REF!</v>
      </c>
    </row>
  </sheetData>
  <sheetProtection password="E372" sheet="1" objects="1" scenarios="1"/>
  <mergeCells count="4">
    <mergeCell ref="B2:AU2"/>
    <mergeCell ref="AV2:BO2"/>
    <mergeCell ref="B3:AU3"/>
    <mergeCell ref="AV3:BO3"/>
  </mergeCells>
  <dataValidations count="1">
    <dataValidation type="list" allowBlank="1" showInputMessage="1" showErrorMessage="1" promptTitle="Yes/No" sqref="K32">
      <formula1>$BT$11:$BT$12</formula1>
    </dataValidation>
  </dataValidations>
  <printOptions horizontalCentered="1" verticalCentered="1"/>
  <pageMargins left="0.25" right="0.25" top="0.5" bottom="0.5" header="0.5" footer="0.5"/>
  <pageSetup horizontalDpi="1200" verticalDpi="1200" orientation="landscape" scale="61" r:id="rId5"/>
  <colBreaks count="1" manualBreakCount="1">
    <brk id="47" max="60" man="1"/>
  </colBreaks>
  <drawing r:id="rId4"/>
  <legacyDrawing r:id="rId2"/>
  <tableParts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CJ56"/>
  <sheetViews>
    <sheetView view="pageBreakPreview" zoomScaleNormal="75" zoomScaleSheetLayoutView="100" zoomScalePageLayoutView="0" workbookViewId="0" topLeftCell="A1">
      <selection activeCell="BC24" sqref="BC24 BF24"/>
    </sheetView>
  </sheetViews>
  <sheetFormatPr defaultColWidth="9.140625" defaultRowHeight="12.75"/>
  <cols>
    <col min="1" max="1" width="1.7109375" style="47" customWidth="1"/>
    <col min="2" max="2" width="6.7109375" style="45" customWidth="1"/>
    <col min="3" max="3" width="8.7109375" style="47" customWidth="1"/>
    <col min="4" max="6" width="8.7109375" style="108" customWidth="1"/>
    <col min="7" max="7" width="12.421875" style="47" bestFit="1" customWidth="1"/>
    <col min="8" max="8" width="11.7109375" style="47" bestFit="1" customWidth="1"/>
    <col min="9" max="9" width="12.421875" style="47" bestFit="1" customWidth="1"/>
    <col min="10" max="10" width="9.7109375" style="47" customWidth="1"/>
    <col min="11" max="14" width="8.7109375" style="108" hidden="1" customWidth="1"/>
    <col min="15" max="15" width="7.7109375" style="108" hidden="1" customWidth="1"/>
    <col min="16" max="23" width="9.57421875" style="47" hidden="1" customWidth="1"/>
    <col min="24" max="24" width="8.8515625" style="47" hidden="1" customWidth="1"/>
    <col min="25" max="25" width="9.140625" style="111" hidden="1" customWidth="1"/>
    <col min="26" max="26" width="9.421875" style="47" hidden="1" customWidth="1"/>
    <col min="27" max="27" width="9.140625" style="47" hidden="1" customWidth="1"/>
    <col min="28" max="28" width="3.7109375" style="47" hidden="1" customWidth="1"/>
    <col min="29" max="31" width="9.140625" style="107" hidden="1" customWidth="1"/>
    <col min="32" max="32" width="2.140625" style="107" hidden="1" customWidth="1"/>
    <col min="33" max="34" width="8.8515625" style="47" customWidth="1"/>
    <col min="35" max="35" width="8.8515625" style="47" hidden="1" customWidth="1"/>
    <col min="36" max="48" width="9.00390625" style="47" customWidth="1"/>
    <col min="49" max="50" width="9.7109375" style="47" customWidth="1"/>
    <col min="51" max="51" width="10.140625" style="47" customWidth="1"/>
    <col min="52" max="52" width="11.8515625" style="47" customWidth="1"/>
    <col min="53" max="53" width="10.7109375" style="47" customWidth="1"/>
    <col min="54" max="54" width="10.421875" style="47" bestFit="1" customWidth="1"/>
    <col min="55" max="61" width="9.00390625" style="47" customWidth="1"/>
    <col min="62" max="67" width="9.28125" style="47" customWidth="1"/>
    <col min="68" max="70" width="3.7109375" style="47" hidden="1" customWidth="1"/>
    <col min="71" max="71" width="8.8515625" style="47" hidden="1" customWidth="1"/>
    <col min="72" max="72" width="11.00390625" style="47" hidden="1" customWidth="1"/>
    <col min="73" max="80" width="9.140625" style="47" hidden="1" customWidth="1"/>
    <col min="81" max="81" width="11.28125" style="47" hidden="1" customWidth="1"/>
    <col min="82" max="82" width="9.140625" style="47" hidden="1" customWidth="1"/>
    <col min="83" max="83" width="9.8515625" style="47" hidden="1" customWidth="1"/>
    <col min="84" max="84" width="14.7109375" style="47" hidden="1" customWidth="1"/>
    <col min="85" max="85" width="11.28125" style="47" hidden="1" customWidth="1"/>
    <col min="86" max="87" width="9.140625" style="47" hidden="1" customWidth="1"/>
    <col min="88" max="88" width="14.7109375" style="47" hidden="1" customWidth="1"/>
    <col min="89" max="16384" width="9.140625" style="47" customWidth="1"/>
  </cols>
  <sheetData>
    <row r="1" spans="1:71" ht="12.75">
      <c r="A1" s="45" t="s">
        <v>61</v>
      </c>
      <c r="B1" s="45" t="s">
        <v>61</v>
      </c>
      <c r="C1" s="46" t="s">
        <v>61</v>
      </c>
      <c r="D1" s="105" t="s">
        <v>61</v>
      </c>
      <c r="E1" s="105" t="s">
        <v>61</v>
      </c>
      <c r="F1" s="105" t="s">
        <v>61</v>
      </c>
      <c r="G1" s="46" t="s">
        <v>61</v>
      </c>
      <c r="H1" s="46" t="s">
        <v>61</v>
      </c>
      <c r="I1" s="46" t="s">
        <v>61</v>
      </c>
      <c r="J1" s="46"/>
      <c r="K1" s="105" t="s">
        <v>61</v>
      </c>
      <c r="L1" s="105"/>
      <c r="M1" s="105"/>
      <c r="N1" s="105"/>
      <c r="O1" s="105" t="s">
        <v>61</v>
      </c>
      <c r="P1" s="46" t="s">
        <v>61</v>
      </c>
      <c r="Q1" s="46" t="s">
        <v>61</v>
      </c>
      <c r="R1" s="46" t="s">
        <v>61</v>
      </c>
      <c r="S1" s="46" t="s">
        <v>61</v>
      </c>
      <c r="T1" s="46" t="s">
        <v>61</v>
      </c>
      <c r="U1" s="46" t="s">
        <v>61</v>
      </c>
      <c r="V1" s="46" t="s">
        <v>61</v>
      </c>
      <c r="W1" s="46" t="s">
        <v>61</v>
      </c>
      <c r="X1" s="46"/>
      <c r="Y1" s="106"/>
      <c r="Z1" s="46" t="s">
        <v>61</v>
      </c>
      <c r="AA1" s="46" t="s">
        <v>61</v>
      </c>
      <c r="AB1" s="195" t="s">
        <v>61</v>
      </c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 t="s">
        <v>0</v>
      </c>
      <c r="BQ1" s="46" t="s">
        <v>0</v>
      </c>
      <c r="BR1" s="46" t="s">
        <v>0</v>
      </c>
      <c r="BS1" s="47" t="s">
        <v>1</v>
      </c>
    </row>
    <row r="2" spans="1:67" ht="18" customHeight="1">
      <c r="A2" s="45" t="s">
        <v>61</v>
      </c>
      <c r="B2" s="278" t="s">
        <v>293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  <c r="AB2" s="278"/>
      <c r="AC2" s="278"/>
      <c r="AD2" s="278"/>
      <c r="AE2" s="278"/>
      <c r="AF2" s="278"/>
      <c r="AG2" s="278"/>
      <c r="AH2" s="278"/>
      <c r="AI2" s="278"/>
      <c r="AJ2" s="278"/>
      <c r="AK2" s="278"/>
      <c r="AL2" s="278"/>
      <c r="AM2" s="278"/>
      <c r="AN2" s="278"/>
      <c r="AO2" s="278"/>
      <c r="AP2" s="278"/>
      <c r="AQ2" s="278"/>
      <c r="AR2" s="278"/>
      <c r="AS2" s="278"/>
      <c r="AT2" s="278"/>
      <c r="AU2" s="278"/>
      <c r="AV2" s="278" t="s">
        <v>293</v>
      </c>
      <c r="AW2" s="278"/>
      <c r="AX2" s="278"/>
      <c r="AY2" s="278"/>
      <c r="AZ2" s="278"/>
      <c r="BA2" s="278"/>
      <c r="BB2" s="278"/>
      <c r="BC2" s="278"/>
      <c r="BD2" s="278"/>
      <c r="BE2" s="278"/>
      <c r="BF2" s="278"/>
      <c r="BG2" s="278"/>
      <c r="BH2" s="278"/>
      <c r="BI2" s="278"/>
      <c r="BJ2" s="278"/>
      <c r="BK2" s="278"/>
      <c r="BL2" s="278"/>
      <c r="BM2" s="278"/>
      <c r="BN2" s="278"/>
      <c r="BO2" s="278"/>
    </row>
    <row r="3" spans="1:67" ht="18" customHeight="1">
      <c r="A3" s="45" t="s">
        <v>61</v>
      </c>
      <c r="B3" s="278" t="s">
        <v>263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 t="s">
        <v>263</v>
      </c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8"/>
      <c r="BO3" s="278"/>
    </row>
    <row r="4" spans="1:67" ht="18">
      <c r="A4" s="45" t="s">
        <v>61</v>
      </c>
      <c r="I4" s="266"/>
      <c r="J4" s="70"/>
      <c r="K4" s="71"/>
      <c r="L4" s="71"/>
      <c r="M4" s="71"/>
      <c r="N4" s="71"/>
      <c r="O4" s="71"/>
      <c r="P4" s="71"/>
      <c r="Q4" s="71"/>
      <c r="T4" s="199"/>
      <c r="U4" s="199"/>
      <c r="V4" s="71"/>
      <c r="Z4" s="63"/>
      <c r="AB4" s="47" t="s">
        <v>61</v>
      </c>
      <c r="AQ4" s="240" t="s">
        <v>192</v>
      </c>
      <c r="AR4" s="73"/>
      <c r="AT4" s="240" t="s">
        <v>192</v>
      </c>
      <c r="AU4" s="74"/>
      <c r="AV4" s="279"/>
      <c r="AW4" s="279"/>
      <c r="AX4" s="279"/>
      <c r="AY4" s="279"/>
      <c r="AZ4" s="279"/>
      <c r="BA4" s="279"/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</row>
    <row r="5" spans="1:88" ht="15">
      <c r="A5" s="45" t="s">
        <v>61</v>
      </c>
      <c r="B5" s="48"/>
      <c r="C5" s="6"/>
      <c r="D5" s="200"/>
      <c r="E5" s="200" t="s">
        <v>61</v>
      </c>
      <c r="F5" s="200"/>
      <c r="G5" s="6"/>
      <c r="H5" s="6"/>
      <c r="I5" s="6"/>
      <c r="J5" s="6"/>
      <c r="K5" s="201"/>
      <c r="L5" s="201"/>
      <c r="M5" s="201"/>
      <c r="N5" s="201"/>
      <c r="O5" s="201"/>
      <c r="P5" s="202"/>
      <c r="Q5" s="202"/>
      <c r="R5" s="202"/>
      <c r="S5" s="202"/>
      <c r="T5" s="202"/>
      <c r="U5" s="202"/>
      <c r="V5" s="202"/>
      <c r="W5" s="6"/>
      <c r="X5" s="6"/>
      <c r="Y5" s="113"/>
      <c r="Z5" s="6"/>
      <c r="AA5" s="6"/>
      <c r="AB5" s="47" t="s">
        <v>61</v>
      </c>
      <c r="AK5" s="203" t="s">
        <v>190</v>
      </c>
      <c r="AL5" s="204"/>
      <c r="AM5" s="204"/>
      <c r="AN5" s="205"/>
      <c r="AQ5" s="68" t="s">
        <v>198</v>
      </c>
      <c r="AR5" s="69"/>
      <c r="AS5" s="3"/>
      <c r="AT5" s="68" t="s">
        <v>199</v>
      </c>
      <c r="AU5" s="6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267"/>
      <c r="BM5" s="268"/>
      <c r="BN5" s="268"/>
      <c r="BO5" s="268"/>
      <c r="BW5" s="203"/>
      <c r="BX5" s="204"/>
      <c r="BY5" s="204"/>
      <c r="BZ5" s="204"/>
      <c r="CA5" s="205"/>
      <c r="CB5" s="204"/>
      <c r="CC5" s="203"/>
      <c r="CD5" s="204"/>
      <c r="CE5" s="204"/>
      <c r="CF5" s="204"/>
      <c r="CG5" s="203"/>
      <c r="CH5" s="204"/>
      <c r="CI5" s="204"/>
      <c r="CJ5" s="204"/>
    </row>
    <row r="6" spans="1:88" ht="14.25">
      <c r="A6" s="45" t="s">
        <v>61</v>
      </c>
      <c r="B6" s="35"/>
      <c r="C6" s="36"/>
      <c r="D6" s="206"/>
      <c r="E6" s="12"/>
      <c r="F6" s="206"/>
      <c r="G6" s="36"/>
      <c r="H6" s="36"/>
      <c r="I6" s="36"/>
      <c r="J6" s="36"/>
      <c r="K6" s="206"/>
      <c r="L6" s="206"/>
      <c r="M6" s="206"/>
      <c r="N6" s="206"/>
      <c r="O6" s="207" t="s">
        <v>2</v>
      </c>
      <c r="P6" s="208"/>
      <c r="Q6" s="208"/>
      <c r="R6" s="209" t="s">
        <v>2</v>
      </c>
      <c r="S6" s="208"/>
      <c r="T6" s="208"/>
      <c r="U6" s="209" t="s">
        <v>2</v>
      </c>
      <c r="V6" s="208"/>
      <c r="W6" s="209" t="s">
        <v>7</v>
      </c>
      <c r="X6" s="3"/>
      <c r="Y6" s="115"/>
      <c r="Z6" s="208"/>
      <c r="AA6" s="208"/>
      <c r="AB6" s="47" t="s">
        <v>61</v>
      </c>
      <c r="AC6" s="116"/>
      <c r="AD6" s="269"/>
      <c r="AE6" s="269"/>
      <c r="AG6" s="36"/>
      <c r="AH6" s="36"/>
      <c r="AI6" s="72"/>
      <c r="AJ6" s="72"/>
      <c r="AK6" s="242"/>
      <c r="AL6" s="242"/>
      <c r="AM6" s="242"/>
      <c r="AN6" s="24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3"/>
      <c r="BH6" s="73"/>
      <c r="BI6" s="73"/>
      <c r="BJ6" s="73"/>
      <c r="BK6" s="74"/>
      <c r="BL6" s="36"/>
      <c r="BM6" s="74"/>
      <c r="BN6" s="75"/>
      <c r="BO6" s="75"/>
      <c r="BP6" s="155"/>
      <c r="BQ6" s="155" t="s">
        <v>3</v>
      </c>
      <c r="BR6" s="155" t="s">
        <v>4</v>
      </c>
      <c r="BS6" s="74" t="s">
        <v>1</v>
      </c>
      <c r="BT6" s="210" t="s">
        <v>142</v>
      </c>
      <c r="BU6" s="211" t="s">
        <v>134</v>
      </c>
      <c r="BV6" s="210" t="s">
        <v>136</v>
      </c>
      <c r="BW6" s="212" t="s">
        <v>143</v>
      </c>
      <c r="BX6" s="154" t="s">
        <v>148</v>
      </c>
      <c r="BY6" s="154" t="s">
        <v>148</v>
      </c>
      <c r="BZ6" s="154" t="s">
        <v>143</v>
      </c>
      <c r="CA6" s="154" t="s">
        <v>148</v>
      </c>
      <c r="CB6" s="154" t="s">
        <v>186</v>
      </c>
      <c r="CC6" s="36" t="s">
        <v>154</v>
      </c>
      <c r="CD6" s="36" t="s">
        <v>200</v>
      </c>
      <c r="CE6" s="36" t="s">
        <v>206</v>
      </c>
      <c r="CF6" s="36" t="s">
        <v>156</v>
      </c>
      <c r="CG6" s="36" t="s">
        <v>154</v>
      </c>
      <c r="CH6" s="36" t="s">
        <v>205</v>
      </c>
      <c r="CI6" s="36" t="s">
        <v>207</v>
      </c>
      <c r="CJ6" s="36" t="s">
        <v>264</v>
      </c>
    </row>
    <row r="7" spans="1:88" ht="12.75">
      <c r="A7" s="45" t="s">
        <v>61</v>
      </c>
      <c r="B7" s="37"/>
      <c r="C7" s="38" t="s">
        <v>61</v>
      </c>
      <c r="D7" s="213" t="s">
        <v>2</v>
      </c>
      <c r="E7" s="13" t="s">
        <v>2</v>
      </c>
      <c r="F7" s="213" t="s">
        <v>2</v>
      </c>
      <c r="G7" s="39" t="s">
        <v>5</v>
      </c>
      <c r="H7" s="39" t="s">
        <v>93</v>
      </c>
      <c r="I7" s="76"/>
      <c r="J7" s="39" t="s">
        <v>6</v>
      </c>
      <c r="K7" s="213" t="s">
        <v>2</v>
      </c>
      <c r="L7" s="213" t="s">
        <v>2</v>
      </c>
      <c r="M7" s="213"/>
      <c r="N7" s="213"/>
      <c r="O7" s="214" t="s">
        <v>87</v>
      </c>
      <c r="P7" s="215" t="s">
        <v>2</v>
      </c>
      <c r="Q7" s="215" t="s">
        <v>2</v>
      </c>
      <c r="R7" s="216" t="s">
        <v>57</v>
      </c>
      <c r="S7" s="215" t="s">
        <v>2</v>
      </c>
      <c r="T7" s="215" t="s">
        <v>2</v>
      </c>
      <c r="U7" s="216" t="s">
        <v>57</v>
      </c>
      <c r="V7" s="215" t="s">
        <v>2</v>
      </c>
      <c r="W7" s="216" t="s">
        <v>57</v>
      </c>
      <c r="X7" s="84" t="s">
        <v>2</v>
      </c>
      <c r="Y7" s="115"/>
      <c r="Z7" s="215" t="s">
        <v>2</v>
      </c>
      <c r="AA7" s="215" t="s">
        <v>2</v>
      </c>
      <c r="AB7" s="47" t="s">
        <v>61</v>
      </c>
      <c r="AC7" s="118"/>
      <c r="AD7" s="269"/>
      <c r="AE7" s="269"/>
      <c r="AG7" s="76"/>
      <c r="AH7" s="39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8"/>
      <c r="BH7" s="78"/>
      <c r="BI7" s="78"/>
      <c r="BJ7" s="78"/>
      <c r="BK7" s="3"/>
      <c r="BL7" s="76"/>
      <c r="BM7" s="3"/>
      <c r="BN7" s="79"/>
      <c r="BO7" s="79"/>
      <c r="BP7" s="84" t="s">
        <v>8</v>
      </c>
      <c r="BQ7" s="84" t="s">
        <v>9</v>
      </c>
      <c r="BR7" s="84" t="s">
        <v>10</v>
      </c>
      <c r="BS7" s="3" t="s">
        <v>1</v>
      </c>
      <c r="BT7" s="86" t="s">
        <v>139</v>
      </c>
      <c r="BU7" s="217" t="s">
        <v>131</v>
      </c>
      <c r="BV7" s="86" t="s">
        <v>137</v>
      </c>
      <c r="BW7" s="218" t="s">
        <v>144</v>
      </c>
      <c r="BX7" s="39" t="s">
        <v>144</v>
      </c>
      <c r="BY7" s="84" t="s">
        <v>145</v>
      </c>
      <c r="BZ7" s="39" t="s">
        <v>146</v>
      </c>
      <c r="CA7" s="82" t="s">
        <v>146</v>
      </c>
      <c r="CB7" s="82" t="s">
        <v>146</v>
      </c>
      <c r="CC7" s="219" t="s">
        <v>155</v>
      </c>
      <c r="CD7" s="76"/>
      <c r="CE7" s="76"/>
      <c r="CF7" s="76"/>
      <c r="CG7" s="219" t="s">
        <v>204</v>
      </c>
      <c r="CH7" s="76"/>
      <c r="CI7" s="76"/>
      <c r="CJ7" s="76"/>
    </row>
    <row r="8" spans="1:88" ht="15.75">
      <c r="A8" s="45" t="s">
        <v>61</v>
      </c>
      <c r="B8" s="37"/>
      <c r="C8" s="39" t="s">
        <v>81</v>
      </c>
      <c r="D8" s="214" t="s">
        <v>11</v>
      </c>
      <c r="E8" s="14" t="s">
        <v>12</v>
      </c>
      <c r="F8" s="214" t="s">
        <v>13</v>
      </c>
      <c r="G8" s="39" t="s">
        <v>14</v>
      </c>
      <c r="H8" s="39" t="s">
        <v>94</v>
      </c>
      <c r="I8" s="39" t="s">
        <v>15</v>
      </c>
      <c r="J8" s="39" t="s">
        <v>107</v>
      </c>
      <c r="K8" s="220" t="s">
        <v>56</v>
      </c>
      <c r="L8" s="220" t="s">
        <v>217</v>
      </c>
      <c r="M8" s="221" t="s">
        <v>184</v>
      </c>
      <c r="N8" s="221" t="s">
        <v>185</v>
      </c>
      <c r="O8" s="214" t="s">
        <v>89</v>
      </c>
      <c r="P8" s="222" t="s">
        <v>90</v>
      </c>
      <c r="Q8" s="222" t="s">
        <v>91</v>
      </c>
      <c r="R8" s="222" t="s">
        <v>16</v>
      </c>
      <c r="S8" s="222" t="s">
        <v>17</v>
      </c>
      <c r="T8" s="222" t="s">
        <v>92</v>
      </c>
      <c r="U8" s="222" t="s">
        <v>18</v>
      </c>
      <c r="V8" s="222" t="s">
        <v>19</v>
      </c>
      <c r="W8" s="222" t="s">
        <v>20</v>
      </c>
      <c r="X8" s="84" t="s">
        <v>21</v>
      </c>
      <c r="Y8" s="223" t="s">
        <v>2</v>
      </c>
      <c r="Z8" s="222" t="s">
        <v>22</v>
      </c>
      <c r="AA8" s="222" t="s">
        <v>23</v>
      </c>
      <c r="AB8" s="47" t="s">
        <v>61</v>
      </c>
      <c r="AC8" s="118"/>
      <c r="AD8" s="269"/>
      <c r="AE8" s="269"/>
      <c r="AG8" s="39" t="s">
        <v>24</v>
      </c>
      <c r="AH8" s="39" t="s">
        <v>126</v>
      </c>
      <c r="AI8" s="77" t="s">
        <v>125</v>
      </c>
      <c r="AJ8" s="77" t="s">
        <v>163</v>
      </c>
      <c r="AK8" s="77" t="s">
        <v>178</v>
      </c>
      <c r="AL8" s="77" t="s">
        <v>179</v>
      </c>
      <c r="AM8" s="77" t="s">
        <v>180</v>
      </c>
      <c r="AN8" s="77" t="s">
        <v>193</v>
      </c>
      <c r="AO8" s="81" t="s">
        <v>216</v>
      </c>
      <c r="AP8" s="77" t="s">
        <v>160</v>
      </c>
      <c r="AQ8" s="77" t="s">
        <v>162</v>
      </c>
      <c r="AR8" s="77" t="s">
        <v>161</v>
      </c>
      <c r="AS8" s="77" t="s">
        <v>181</v>
      </c>
      <c r="AT8" s="77" t="s">
        <v>182</v>
      </c>
      <c r="AU8" s="77" t="s">
        <v>183</v>
      </c>
      <c r="AV8" s="77" t="s">
        <v>194</v>
      </c>
      <c r="AW8" s="77" t="s">
        <v>195</v>
      </c>
      <c r="AX8" s="77" t="s">
        <v>208</v>
      </c>
      <c r="AY8" s="77" t="s">
        <v>85</v>
      </c>
      <c r="AZ8" s="77" t="s">
        <v>188</v>
      </c>
      <c r="BA8" s="77" t="s">
        <v>219</v>
      </c>
      <c r="BB8" s="77" t="s">
        <v>191</v>
      </c>
      <c r="BC8" s="77" t="s">
        <v>27</v>
      </c>
      <c r="BD8" s="77" t="s">
        <v>86</v>
      </c>
      <c r="BE8" s="77" t="s">
        <v>28</v>
      </c>
      <c r="BF8" s="77" t="s">
        <v>84</v>
      </c>
      <c r="BG8" s="82" t="s">
        <v>29</v>
      </c>
      <c r="BH8" s="82" t="s">
        <v>116</v>
      </c>
      <c r="BI8" s="82" t="s">
        <v>30</v>
      </c>
      <c r="BJ8" s="83" t="s">
        <v>58</v>
      </c>
      <c r="BK8" s="84" t="s">
        <v>25</v>
      </c>
      <c r="BL8" s="85" t="s">
        <v>59</v>
      </c>
      <c r="BM8" s="84" t="s">
        <v>26</v>
      </c>
      <c r="BN8" s="86" t="s">
        <v>130</v>
      </c>
      <c r="BO8" s="86" t="s">
        <v>129</v>
      </c>
      <c r="BP8" s="84" t="s">
        <v>31</v>
      </c>
      <c r="BQ8" s="84" t="s">
        <v>32</v>
      </c>
      <c r="BR8" s="84" t="s">
        <v>33</v>
      </c>
      <c r="BS8" s="3" t="s">
        <v>1</v>
      </c>
      <c r="BT8" s="86" t="s">
        <v>140</v>
      </c>
      <c r="BU8" s="217" t="s">
        <v>132</v>
      </c>
      <c r="BV8" s="86" t="s">
        <v>129</v>
      </c>
      <c r="BW8" s="224"/>
      <c r="BX8" s="76"/>
      <c r="BY8" s="3"/>
      <c r="BZ8" s="76"/>
      <c r="CA8" s="78"/>
      <c r="CB8" s="78"/>
      <c r="CC8" s="76"/>
      <c r="CD8" s="76"/>
      <c r="CE8" s="76"/>
      <c r="CF8" s="76"/>
      <c r="CG8" s="76"/>
      <c r="CH8" s="76"/>
      <c r="CI8" s="76"/>
      <c r="CJ8" s="76"/>
    </row>
    <row r="9" spans="1:88" ht="12.75">
      <c r="A9" s="45" t="s">
        <v>61</v>
      </c>
      <c r="B9" s="37"/>
      <c r="C9" s="39" t="s">
        <v>34</v>
      </c>
      <c r="D9" s="214" t="s">
        <v>34</v>
      </c>
      <c r="E9" s="14" t="s">
        <v>34</v>
      </c>
      <c r="F9" s="214" t="s">
        <v>34</v>
      </c>
      <c r="G9" s="39" t="s">
        <v>83</v>
      </c>
      <c r="H9" s="39" t="s">
        <v>83</v>
      </c>
      <c r="I9" s="39" t="s">
        <v>83</v>
      </c>
      <c r="J9" s="39" t="s">
        <v>83</v>
      </c>
      <c r="K9" s="214" t="s">
        <v>35</v>
      </c>
      <c r="L9" s="214" t="s">
        <v>34</v>
      </c>
      <c r="M9" s="214"/>
      <c r="N9" s="214"/>
      <c r="O9" s="214" t="s">
        <v>34</v>
      </c>
      <c r="P9" s="222" t="s">
        <v>36</v>
      </c>
      <c r="Q9" s="222" t="s">
        <v>36</v>
      </c>
      <c r="R9" s="222" t="s">
        <v>35</v>
      </c>
      <c r="S9" s="222" t="s">
        <v>37</v>
      </c>
      <c r="T9" s="222" t="s">
        <v>36</v>
      </c>
      <c r="U9" s="222" t="s">
        <v>35</v>
      </c>
      <c r="V9" s="222" t="s">
        <v>37</v>
      </c>
      <c r="W9" s="222" t="s">
        <v>35</v>
      </c>
      <c r="X9" s="84" t="s">
        <v>35</v>
      </c>
      <c r="Y9" s="223" t="s">
        <v>38</v>
      </c>
      <c r="Z9" s="222" t="s">
        <v>37</v>
      </c>
      <c r="AA9" s="222" t="s">
        <v>37</v>
      </c>
      <c r="AB9" s="47" t="s">
        <v>61</v>
      </c>
      <c r="AC9" s="118" t="s">
        <v>88</v>
      </c>
      <c r="AD9" s="269"/>
      <c r="AE9" s="269"/>
      <c r="AG9" s="39" t="s">
        <v>37</v>
      </c>
      <c r="AH9" s="39" t="s">
        <v>37</v>
      </c>
      <c r="AI9" s="77" t="s">
        <v>37</v>
      </c>
      <c r="AJ9" s="77" t="s">
        <v>34</v>
      </c>
      <c r="AK9" s="77" t="s">
        <v>159</v>
      </c>
      <c r="AL9" s="77" t="s">
        <v>159</v>
      </c>
      <c r="AM9" s="77" t="s">
        <v>159</v>
      </c>
      <c r="AN9" s="77" t="s">
        <v>159</v>
      </c>
      <c r="AO9" s="77" t="s">
        <v>35</v>
      </c>
      <c r="AP9" s="77" t="s">
        <v>159</v>
      </c>
      <c r="AQ9" s="77" t="s">
        <v>159</v>
      </c>
      <c r="AR9" s="77" t="s">
        <v>159</v>
      </c>
      <c r="AS9" s="77" t="s">
        <v>159</v>
      </c>
      <c r="AT9" s="77" t="s">
        <v>159</v>
      </c>
      <c r="AU9" s="77" t="s">
        <v>159</v>
      </c>
      <c r="AV9" s="77" t="s">
        <v>159</v>
      </c>
      <c r="AW9" s="77" t="s">
        <v>159</v>
      </c>
      <c r="AX9" s="77" t="s">
        <v>159</v>
      </c>
      <c r="AY9" s="77" t="s">
        <v>159</v>
      </c>
      <c r="AZ9" s="77" t="s">
        <v>189</v>
      </c>
      <c r="BA9" s="77"/>
      <c r="BB9" s="77" t="s">
        <v>189</v>
      </c>
      <c r="BC9" s="77" t="s">
        <v>34</v>
      </c>
      <c r="BD9" s="77" t="s">
        <v>34</v>
      </c>
      <c r="BE9" s="77" t="s">
        <v>34</v>
      </c>
      <c r="BF9" s="77" t="s">
        <v>34</v>
      </c>
      <c r="BG9" s="82" t="s">
        <v>18</v>
      </c>
      <c r="BH9" s="82" t="s">
        <v>18</v>
      </c>
      <c r="BI9" s="82" t="s">
        <v>18</v>
      </c>
      <c r="BJ9" s="82" t="s">
        <v>35</v>
      </c>
      <c r="BK9" s="84" t="s">
        <v>16</v>
      </c>
      <c r="BL9" s="39" t="s">
        <v>35</v>
      </c>
      <c r="BM9" s="84" t="s">
        <v>16</v>
      </c>
      <c r="BN9" s="86" t="s">
        <v>35</v>
      </c>
      <c r="BO9" s="86" t="s">
        <v>16</v>
      </c>
      <c r="BP9" s="84" t="s">
        <v>12</v>
      </c>
      <c r="BQ9" s="84" t="s">
        <v>39</v>
      </c>
      <c r="BR9" s="84" t="s">
        <v>40</v>
      </c>
      <c r="BS9" s="3" t="s">
        <v>1</v>
      </c>
      <c r="BT9" s="86" t="s">
        <v>141</v>
      </c>
      <c r="BU9" s="217" t="s">
        <v>133</v>
      </c>
      <c r="BV9" s="86" t="s">
        <v>138</v>
      </c>
      <c r="BW9" s="225" t="s">
        <v>149</v>
      </c>
      <c r="BX9" s="219" t="s">
        <v>150</v>
      </c>
      <c r="BY9" s="226" t="s">
        <v>151</v>
      </c>
      <c r="BZ9" s="219" t="s">
        <v>152</v>
      </c>
      <c r="CA9" s="227" t="s">
        <v>153</v>
      </c>
      <c r="CB9" s="227"/>
      <c r="CC9" s="76"/>
      <c r="CD9" s="76"/>
      <c r="CE9" s="76"/>
      <c r="CF9" s="39" t="s">
        <v>201</v>
      </c>
      <c r="CG9" s="76"/>
      <c r="CH9" s="76"/>
      <c r="CI9" s="76"/>
      <c r="CJ9" s="39" t="s">
        <v>202</v>
      </c>
    </row>
    <row r="10" spans="1:88" ht="12.75">
      <c r="A10" s="45" t="s">
        <v>61</v>
      </c>
      <c r="B10" s="40"/>
      <c r="C10" s="41" t="s">
        <v>61</v>
      </c>
      <c r="D10" s="228" t="s">
        <v>61</v>
      </c>
      <c r="E10" s="15" t="s">
        <v>61</v>
      </c>
      <c r="F10" s="228" t="s">
        <v>61</v>
      </c>
      <c r="G10" s="41" t="s">
        <v>114</v>
      </c>
      <c r="H10" s="41" t="s">
        <v>115</v>
      </c>
      <c r="I10" s="41" t="s">
        <v>114</v>
      </c>
      <c r="J10" s="41" t="s">
        <v>114</v>
      </c>
      <c r="K10" s="228" t="s">
        <v>61</v>
      </c>
      <c r="L10" s="228"/>
      <c r="M10" s="228"/>
      <c r="N10" s="228"/>
      <c r="O10" s="229" t="s">
        <v>61</v>
      </c>
      <c r="P10" s="230" t="s">
        <v>61</v>
      </c>
      <c r="Q10" s="229" t="s">
        <v>61</v>
      </c>
      <c r="R10" s="230" t="s">
        <v>61</v>
      </c>
      <c r="S10" s="229" t="s">
        <v>61</v>
      </c>
      <c r="T10" s="230" t="s">
        <v>61</v>
      </c>
      <c r="U10" s="229" t="s">
        <v>61</v>
      </c>
      <c r="V10" s="229" t="s">
        <v>61</v>
      </c>
      <c r="W10" s="229" t="s">
        <v>61</v>
      </c>
      <c r="X10" s="231"/>
      <c r="Y10" s="232"/>
      <c r="Z10" s="229" t="s">
        <v>61</v>
      </c>
      <c r="AA10" s="229" t="s">
        <v>61</v>
      </c>
      <c r="AB10" s="47" t="s">
        <v>61</v>
      </c>
      <c r="AC10" s="121"/>
      <c r="AD10" s="270"/>
      <c r="AE10" s="270"/>
      <c r="AF10" s="104"/>
      <c r="AG10" s="41"/>
      <c r="AH10" s="41"/>
      <c r="AI10" s="88" t="s">
        <v>61</v>
      </c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9"/>
      <c r="BH10" s="89"/>
      <c r="BI10" s="89"/>
      <c r="BJ10" s="89"/>
      <c r="BK10" s="90"/>
      <c r="BL10" s="41"/>
      <c r="BM10" s="90"/>
      <c r="BN10" s="91"/>
      <c r="BO10" s="91"/>
      <c r="BP10" s="90"/>
      <c r="BQ10" s="90"/>
      <c r="BR10" s="90"/>
      <c r="BS10" s="6" t="s">
        <v>1</v>
      </c>
      <c r="BT10" s="91"/>
      <c r="BU10" s="233" t="s">
        <v>135</v>
      </c>
      <c r="BV10" s="91" t="s">
        <v>158</v>
      </c>
      <c r="BW10" s="68"/>
      <c r="BX10" s="234"/>
      <c r="BY10" s="6"/>
      <c r="BZ10" s="234"/>
      <c r="CA10" s="69"/>
      <c r="CB10" s="69"/>
      <c r="CC10" s="234"/>
      <c r="CD10" s="234"/>
      <c r="CE10" s="234"/>
      <c r="CF10" s="234"/>
      <c r="CG10" s="234"/>
      <c r="CH10" s="234"/>
      <c r="CI10" s="234"/>
      <c r="CJ10" s="234"/>
    </row>
    <row r="11" spans="1:88" ht="18">
      <c r="A11" s="45" t="s">
        <v>61</v>
      </c>
      <c r="B11" s="271">
        <v>1</v>
      </c>
      <c r="C11" s="10">
        <f aca="true" t="shared" si="0" ref="C11:C30">D11+E11</f>
        <v>10</v>
      </c>
      <c r="D11" s="150">
        <f>'INPUT AND RESULTS'!D11</f>
        <v>8</v>
      </c>
      <c r="E11" s="150">
        <f>'INPUT AND RESULTS'!E11</f>
        <v>2</v>
      </c>
      <c r="F11" s="150">
        <f>'INPUT AND RESULTS'!F11</f>
        <v>8</v>
      </c>
      <c r="G11" s="9">
        <f aca="true" t="shared" si="1" ref="G11:G30">AZ11/BB11</f>
        <v>5.184</v>
      </c>
      <c r="H11" s="9">
        <f aca="true" t="shared" si="2" ref="H11:H30">BC11/BF11</f>
        <v>0.3858024691358024</v>
      </c>
      <c r="I11" s="9">
        <f aca="true" t="shared" si="3" ref="I11:I30">AW11/AV11</f>
        <v>2.4941531628991833</v>
      </c>
      <c r="J11" s="9">
        <f>AH11/AG11</f>
        <v>3.9452706422770194</v>
      </c>
      <c r="K11" s="150">
        <f>'INPUT AND RESULTS'!L11</f>
        <v>0</v>
      </c>
      <c r="L11" s="43">
        <f>'INPUT AND RESULTS'!M11</f>
        <v>200</v>
      </c>
      <c r="M11" s="151">
        <f>'INPUT AND RESULTS'!N11</f>
        <v>0</v>
      </c>
      <c r="N11" s="151">
        <f>'INPUT AND RESULTS'!O11</f>
        <v>1</v>
      </c>
      <c r="O11" s="150">
        <f>'INPUT AND RESULTS'!P11</f>
        <v>0</v>
      </c>
      <c r="P11" s="150">
        <f>'INPUT AND RESULTS'!Q11</f>
        <v>105</v>
      </c>
      <c r="Q11" s="150">
        <f>'INPUT AND RESULTS'!R11</f>
        <v>105</v>
      </c>
      <c r="R11" s="150">
        <f>'INPUT AND RESULTS'!S11</f>
        <v>30</v>
      </c>
      <c r="S11" s="150">
        <f>'INPUT AND RESULTS'!T11</f>
        <v>0</v>
      </c>
      <c r="T11" s="150">
        <f>'INPUT AND RESULTS'!U11</f>
        <v>105</v>
      </c>
      <c r="U11" s="150">
        <f>'INPUT AND RESULTS'!V11</f>
        <v>30</v>
      </c>
      <c r="V11" s="150">
        <f>'INPUT AND RESULTS'!W11</f>
        <v>0</v>
      </c>
      <c r="W11" s="150">
        <f>'INPUT AND RESULTS'!X11</f>
        <v>30</v>
      </c>
      <c r="X11" s="150">
        <f>'INPUT AND RESULTS'!Y11</f>
        <v>90</v>
      </c>
      <c r="Y11" s="150" t="str">
        <f>'INPUT AND RESULTS'!Z11</f>
        <v>i</v>
      </c>
      <c r="Z11" s="150">
        <f>'INPUT AND RESULTS'!AA11</f>
        <v>250</v>
      </c>
      <c r="AA11" s="150">
        <f>'INPUT AND RESULTS'!AB11</f>
        <v>250</v>
      </c>
      <c r="AB11" s="47" t="s">
        <v>61</v>
      </c>
      <c r="AC11" s="49">
        <f aca="true" t="shared" si="4" ref="AC11:AC30">IF(O11&gt;(1.5*F11),1,0.5+O11/3/F11)</f>
        <v>0.5</v>
      </c>
      <c r="AD11" s="272"/>
      <c r="AE11" s="272"/>
      <c r="AG11" s="24">
        <f aca="true" t="shared" si="5" ref="AG11:AG30">AY11/(F11-2*BD11)</f>
        <v>1270.4564315352698</v>
      </c>
      <c r="AH11" s="26">
        <f>V11*BG11*'Load and Resistance Factors'!$E$11+0.5*(F11-2*BD11)*T11*BI11*'Load and Resistance Factors'!$E$11*AC11+T11*E11*BH11*'Load and Resistance Factors'!$E$11</f>
        <v>5012.294461628124</v>
      </c>
      <c r="AI11" s="24">
        <v>0</v>
      </c>
      <c r="AJ11" s="21" t="str">
        <f aca="true" t="shared" si="6" ref="AJ11:AJ30">IF(K11=0,"---",IF(L11&gt;=F11,C11+(F11*(TAN(RADIANS(K11)))),(C11+(L11*(TAN(RADIANS(K11)))))))</f>
        <v>---</v>
      </c>
      <c r="AK11" s="24">
        <f>(P11*C11*F11*'Load and Resistance Factors'!$B$8)</f>
        <v>11340</v>
      </c>
      <c r="AL11" s="24" t="str">
        <f>IF(K11=0,"---",IF(L11&gt;=F11,(0.5*P11*(AJ11-C11)*F11*'Load and Resistance Factors'!$B$8),(0.5*P11*(L11*(TAN(RADIANS(K11)))*L11*'Load and Resistance Factors'!$B$8))))</f>
        <v>---</v>
      </c>
      <c r="AM11" s="24" t="str">
        <f>IF(K11=0,"---",IF(L11&gt;=F11,"---",(P11*(L11*(TAN(RADIANS(K11))))*(F11-L11)*'Load and Resistance Factors'!$B$8)))</f>
        <v>---</v>
      </c>
      <c r="AN11" s="24">
        <v>0</v>
      </c>
      <c r="AO11" s="21">
        <f aca="true" t="shared" si="7" ref="AO11:AO30">BV11</f>
        <v>0</v>
      </c>
      <c r="AP11" s="24">
        <f aca="true" t="shared" si="8" ref="AP11:AP30">IF(K11=0,0.5*Q11*C11*C11*BK11,IF(L11&gt;=F11,0.5*Q11*AJ11*AJ11*BM11,0.5*Q11*AJ11*AJ11*CJ11))</f>
        <v>1750</v>
      </c>
      <c r="AQ11" s="24" t="str">
        <f>IF(K11=0,"---",IF(L11&gt;=F11,AP11*M11*'Load and Resistance Factors'!$C$8,AP11*CB11*'Load and Resistance Factors'!$C$8))</f>
        <v>---</v>
      </c>
      <c r="AR11" s="24" t="str">
        <f>IF(K11=0,"---",IF(L11&gt;=F11,AP11*N11*'Load and Resistance Factors'!$C$8,AP11*BZ11*'Load and Resistance Factors'!$C$8))</f>
        <v>---</v>
      </c>
      <c r="AS11" s="24">
        <v>0</v>
      </c>
      <c r="AT11" s="24" t="str">
        <f>IF(K11=0,"---",IF(L11&gt;=F11,AS11*M11*'Load and Resistance Factors'!$E$6,AS11*CB11*'Load and Resistance Factors'!$E$6))</f>
        <v>---</v>
      </c>
      <c r="AU11" s="24" t="str">
        <f>IF(K11=0,"---",IF(L11&gt;=F11,AS11*N11*'Load and Resistance Factors'!$E$6,AS11*BZ11*'Load and Resistance Factors'!$E$6))</f>
        <v>---</v>
      </c>
      <c r="AV11" s="24">
        <f>IF(K11=0,(AP11*'Load and Resistance Factors'!$C$8+AS11*'Load and Resistance Factors'!$E$8),AR11+AU11)</f>
        <v>2625</v>
      </c>
      <c r="AW11" s="24">
        <f>IF(K11=0,'Load and Resistance Factors'!$E$10*(SUM(AK11:AM11)*(TAN(RADIANS(W11)))),'Load and Resistance Factors'!$E$10*((SUM(AK11:AM11)+AQ11)*(TAN(RADIANS(W11)))))</f>
        <v>6547.152052610356</v>
      </c>
      <c r="AX11" s="24">
        <f aca="true" t="shared" si="9" ref="AX11:AX30">IF(K11=0,AK11,IF(L11&gt;=F11,AK11+AL11+AQ11,AK11+AL11+AM11+AQ11))</f>
        <v>11340</v>
      </c>
      <c r="AY11" s="24">
        <f aca="true" t="shared" si="10" ref="AY11:AY30">IF(K11=0,AK11+AN11,IF(L11&gt;=F11,(AK11)+(AL11)+AQ11+AT11+AN11,(AK11)+(AL11)+(AM11)+AN11+AQ11+AT11))</f>
        <v>11340</v>
      </c>
      <c r="AZ11" s="24">
        <f aca="true" t="shared" si="11" ref="AZ11:AZ30">IF(K11=0,AK11*(F11/2),IF(L11&gt;=F11,AK11*(F11/2)+(AL11*(2/3)*F11)+(AQ11*F11)+(AT11*F11),AK11*(F11/2)+(AL11*(2/3)*L11)+AM11*(L11+(0.5*(F11-L11)))+AQ11*F11+AT11*F11))</f>
        <v>45360</v>
      </c>
      <c r="BA11" s="24">
        <f>IF(K11=0,AZ11+(Z11*F11*(F11/2)*'Load and Resistance Factors'!$D$7),IF(L11&gt;=F11,AZ11+(AN11*(F11/2)),AZ11+(AN11*(L11+((F11-L11)/2)))))</f>
        <v>59360</v>
      </c>
      <c r="BB11" s="24">
        <f>IF(K11=0,(AP11*'Load and Resistance Factors'!$C$8*(C11/3))+(AS11*'Load and Resistance Factors'!$E$8*(C11/2)),IF(L11&gt;=F11,(AR11*(AJ11/3))+(AU11*(AJ11/2)),(AR11*(AJ11/3))+(AU11*(AJ11/2))))</f>
        <v>8750</v>
      </c>
      <c r="BC11" s="21">
        <f aca="true" t="shared" si="12" ref="BC11:BC30">(F11/2)-((AZ11-BB11)/AX11)</f>
        <v>0.7716049382716048</v>
      </c>
      <c r="BD11" s="21">
        <f aca="true" t="shared" si="13" ref="BD11:BD30">(F11/2)-((BA11-BB11)/AY11)</f>
        <v>-0.4629629629629628</v>
      </c>
      <c r="BE11" s="21">
        <f aca="true" t="shared" si="14" ref="BE11:BE30">F11-(2*BD11)</f>
        <v>8.925925925925926</v>
      </c>
      <c r="BF11" s="21">
        <f aca="true" t="shared" si="15" ref="BF11:BF30">F11/4</f>
        <v>2</v>
      </c>
      <c r="BG11" s="21">
        <f aca="true" t="shared" si="16" ref="BG11:BG30">IF(U11=0,5.14,(((EXP(PI()*TAN(U11*PI()/180)))*(TAN(PI()/4+(U11*PI()/180)/2))^2)-1)*(1/(TAN(U11*PI()/180))))</f>
        <v>30.139627791519086</v>
      </c>
      <c r="BH11" s="21">
        <f aca="true" t="shared" si="17" ref="BH11:BH30">((EXP(PI()*TAN(U11*PI()/180)))*(TAN(PI()/4+(U11*PI()/180)/2))^2)</f>
        <v>18.401122218708668</v>
      </c>
      <c r="BI11" s="21">
        <f aca="true" t="shared" si="18" ref="BI11:BI30">(((EXP(PI()*TAN(U11*PI()/180)))*(TAN(PI()/4+(U11*PI()/180)/2))^2)+1)*2*(TAN(1*PI()/180*U11))</f>
        <v>22.402486271104557</v>
      </c>
      <c r="BJ11" s="22">
        <f aca="true" t="shared" si="19" ref="BJ11:BJ30">IF(K11=0,0,"---")</f>
        <v>0</v>
      </c>
      <c r="BK11" s="23">
        <f aca="true" t="shared" si="20" ref="BK11:BK30">IF(K11=0,IF(BJ11=0,(TAN(BP11*(45-R11/2)))^2,(((SIN((X11-R11)*BP11))/(SIN(X11*BP11)))/((SQRT(SIN((X11+BJ11)*BP11)))+(SQRT((SIN((R11+BJ11)*BP11))*(SIN((R11-K11)*BP11))/(SIN((X11-K11)*BP11))))))^2),"---")</f>
        <v>0.3333333333333333</v>
      </c>
      <c r="BL11" s="1" t="str">
        <f aca="true" t="shared" si="21" ref="BL11:BL30">IF(K11=0," ---",IF(Y11="I",K11,IF((1-K11/R11)*(F11/(D11+E11)-0.2)&gt;1,0,R11*(1-((1-(K11/R11))*(F11/(D11+E11)-0.2))))))</f>
        <v> ---</v>
      </c>
      <c r="BM11" s="25" t="str">
        <f aca="true" t="shared" si="22" ref="BM11:BM30">IF(K11=0,"  --",(((SIN((X11-R11)*BP11))/(SIN(X11*BP11)))/((SQRT(SIN((X11+BL11)*BP11)))+(SQRT((SIN((R11+BL11)*BP11))*(SIN((R11-K11)*BP11))/(SIN((X11-K11)*BP11))))))^2)</f>
        <v>  --</v>
      </c>
      <c r="BN11" s="21" t="str">
        <f aca="true" t="shared" si="23" ref="BN11:BN30">IF(L11&lt;(2*C11),BV11,BL11)</f>
        <v> ---</v>
      </c>
      <c r="BO11" s="27" t="str">
        <f aca="true" t="shared" si="24" ref="BO11:BO30">IF(K11=0,"---",IF(L11&gt;=2*C11,"---",CF11))</f>
        <v>---</v>
      </c>
      <c r="BP11" s="192">
        <f aca="true" t="shared" si="25" ref="BP11:BP30">PI()/180</f>
        <v>0.017453292519943295</v>
      </c>
      <c r="BQ11" s="192">
        <f aca="true" t="shared" si="26" ref="BQ11:BQ30">TAN(W11*BP11)</f>
        <v>0.5773502691896257</v>
      </c>
      <c r="BR11" s="192">
        <f aca="true" t="shared" si="27" ref="BR11:BR30">IF(K11&gt;0,"----",SIN(BJ11*BP11))</f>
        <v>0</v>
      </c>
      <c r="BS11" s="3" t="s">
        <v>1</v>
      </c>
      <c r="BT11" s="193" t="s">
        <v>127</v>
      </c>
      <c r="BU11" s="243">
        <f>L11*TAN(RADIANS(K11))</f>
        <v>0</v>
      </c>
      <c r="BV11" s="243">
        <f aca="true" t="shared" si="28" ref="BV11:BV30">IF(DEGREES(ATAN(BU11/(2*C11)))&gt;K11,K11,DEGREES(ATAN(BU11/(2*C11))))</f>
        <v>0</v>
      </c>
      <c r="BW11" s="244">
        <f aca="true" t="shared" si="29" ref="BW11:BW30">COS(RADIANS(K11))</f>
        <v>1</v>
      </c>
      <c r="BX11" s="244">
        <f aca="true" t="shared" si="30" ref="BX11:BX30">BW11^2</f>
        <v>1</v>
      </c>
      <c r="BY11" s="245">
        <f aca="true" t="shared" si="31" ref="BY11:BY30">(COS(RADIANS(R11)))^2</f>
        <v>0.7500000000000001</v>
      </c>
      <c r="BZ11" s="244">
        <f aca="true" t="shared" si="32" ref="BZ11:BZ30">COS(RADIANS(BV11))</f>
        <v>1</v>
      </c>
      <c r="CA11" s="244">
        <f aca="true" t="shared" si="33" ref="CA11:CA30">BZ11^2</f>
        <v>1</v>
      </c>
      <c r="CB11" s="244">
        <f aca="true" t="shared" si="34" ref="CB11:CB30">SIN(RADIANS(BV11))</f>
        <v>0</v>
      </c>
      <c r="CC11" s="162">
        <f aca="true" t="shared" si="35" ref="CC11:CC30">(BX11-BY11)^0.5</f>
        <v>0.4999999999999999</v>
      </c>
      <c r="CD11" s="162">
        <f aca="true" t="shared" si="36" ref="CD11:CD30">BW11-CC11</f>
        <v>0.5000000000000001</v>
      </c>
      <c r="CE11" s="162">
        <f aca="true" t="shared" si="37" ref="CE11:CE30">BW11+CC11</f>
        <v>1.5</v>
      </c>
      <c r="CF11" s="246">
        <f aca="true" t="shared" si="38" ref="CF11:CF30">BW11*(CD11/CE11)</f>
        <v>0.3333333333333334</v>
      </c>
      <c r="CG11" s="162">
        <f aca="true" t="shared" si="39" ref="CG11:CG30">(CA11-BY11)^0.5</f>
        <v>0.4999999999999999</v>
      </c>
      <c r="CH11" s="162">
        <f aca="true" t="shared" si="40" ref="CH11:CH30">BZ11-CG11</f>
        <v>0.5000000000000001</v>
      </c>
      <c r="CI11" s="162">
        <f aca="true" t="shared" si="41" ref="CI11:CI30">BZ11+CG11</f>
        <v>1.5</v>
      </c>
      <c r="CJ11" s="246">
        <f aca="true" t="shared" si="42" ref="CJ11:CJ30">BZ11*(CH11/CI11)</f>
        <v>0.3333333333333334</v>
      </c>
    </row>
    <row r="12" spans="1:88" ht="18">
      <c r="A12" s="45" t="s">
        <v>61</v>
      </c>
      <c r="B12" s="271">
        <v>2</v>
      </c>
      <c r="C12" s="10">
        <f t="shared" si="0"/>
        <v>12</v>
      </c>
      <c r="D12" s="150">
        <f>'INPUT AND RESULTS'!D12</f>
        <v>10</v>
      </c>
      <c r="E12" s="150">
        <f>'INPUT AND RESULTS'!E12</f>
        <v>2</v>
      </c>
      <c r="F12" s="150">
        <f>'INPUT AND RESULTS'!F12</f>
        <v>9</v>
      </c>
      <c r="G12" s="9">
        <f t="shared" si="1"/>
        <v>4.556250000000001</v>
      </c>
      <c r="H12" s="9">
        <f t="shared" si="2"/>
        <v>0.4389574759945128</v>
      </c>
      <c r="I12" s="9">
        <f t="shared" si="3"/>
        <v>2.3382685902179845</v>
      </c>
      <c r="J12" s="9">
        <f aca="true" t="shared" si="43" ref="J12:J30">AH12/AG12</f>
        <v>3.1394388896622534</v>
      </c>
      <c r="K12" s="150">
        <f>'INPUT AND RESULTS'!L12</f>
        <v>0</v>
      </c>
      <c r="L12" s="43">
        <f>'INPUT AND RESULTS'!M12</f>
        <v>200</v>
      </c>
      <c r="M12" s="151">
        <f>'INPUT AND RESULTS'!N12</f>
        <v>0</v>
      </c>
      <c r="N12" s="151">
        <f>'INPUT AND RESULTS'!O12</f>
        <v>1</v>
      </c>
      <c r="O12" s="150">
        <f>'INPUT AND RESULTS'!P12</f>
        <v>0</v>
      </c>
      <c r="P12" s="150">
        <f>'INPUT AND RESULTS'!Q12</f>
        <v>105</v>
      </c>
      <c r="Q12" s="150">
        <f>'INPUT AND RESULTS'!R12</f>
        <v>105</v>
      </c>
      <c r="R12" s="150">
        <f>'INPUT AND RESULTS'!S12</f>
        <v>30</v>
      </c>
      <c r="S12" s="150">
        <f>'INPUT AND RESULTS'!T12</f>
        <v>0</v>
      </c>
      <c r="T12" s="150">
        <f>'INPUT AND RESULTS'!U12</f>
        <v>105</v>
      </c>
      <c r="U12" s="150">
        <f>'INPUT AND RESULTS'!V12</f>
        <v>30</v>
      </c>
      <c r="V12" s="150">
        <f>'INPUT AND RESULTS'!W12</f>
        <v>0</v>
      </c>
      <c r="W12" s="150">
        <f>'INPUT AND RESULTS'!X12</f>
        <v>30</v>
      </c>
      <c r="X12" s="150">
        <f>'INPUT AND RESULTS'!Y12</f>
        <v>90</v>
      </c>
      <c r="Y12" s="150" t="str">
        <f>'INPUT AND RESULTS'!Z12</f>
        <v>I</v>
      </c>
      <c r="Z12" s="150">
        <f>'INPUT AND RESULTS'!AA12</f>
        <v>250</v>
      </c>
      <c r="AA12" s="150">
        <f>'INPUT AND RESULTS'!AB12</f>
        <v>250</v>
      </c>
      <c r="AB12" s="47" t="s">
        <v>61</v>
      </c>
      <c r="AC12" s="49">
        <f t="shared" si="4"/>
        <v>0.5</v>
      </c>
      <c r="AD12" s="272"/>
      <c r="AE12" s="272"/>
      <c r="AG12" s="24">
        <f t="shared" si="5"/>
        <v>1639.165895571712</v>
      </c>
      <c r="AH12" s="26">
        <f>V12*BG12*'Load and Resistance Factors'!$E$11+0.5*(F12-2*BD12)*T12*BI12*'Load and Resistance Factors'!$E$11*AC12+T12*E12*BH12*'Load and Resistance Factors'!$E$11</f>
        <v>5146.061159165889</v>
      </c>
      <c r="AI12" s="24">
        <v>0</v>
      </c>
      <c r="AJ12" s="21" t="str">
        <f t="shared" si="6"/>
        <v>---</v>
      </c>
      <c r="AK12" s="24">
        <f>(P12*C12*F12*'Load and Resistance Factors'!$B$8)</f>
        <v>15309.000000000002</v>
      </c>
      <c r="AL12" s="24" t="str">
        <f>IF(K12=0,"---",IF(L12&gt;=F12,(0.5*P12*(AJ12-C12)*F12*'Load and Resistance Factors'!$B$8),(0.5*P12*(L12*(TAN(RADIANS(K12)))*L12*'Load and Resistance Factors'!$B$8))))</f>
        <v>---</v>
      </c>
      <c r="AM12" s="24" t="str">
        <f>IF(K12=0,"---",IF(L12&gt;=F12,"---",(P12*(L12*(TAN(RADIANS(K12))))*(F12-L12)*'Load and Resistance Factors'!$B$8)))</f>
        <v>---</v>
      </c>
      <c r="AN12" s="24">
        <v>0</v>
      </c>
      <c r="AO12" s="21">
        <f t="shared" si="7"/>
        <v>0</v>
      </c>
      <c r="AP12" s="24">
        <f t="shared" si="8"/>
        <v>2520</v>
      </c>
      <c r="AQ12" s="24" t="str">
        <f>IF(K12=0,"---",IF(L12&gt;=F12,AP12*M12*'Load and Resistance Factors'!$C$8,AP12*CB12*'Load and Resistance Factors'!$C$8))</f>
        <v>---</v>
      </c>
      <c r="AR12" s="24" t="str">
        <f>IF(K12=0,"---",IF(L12&gt;=F12,AP12*N12*'Load and Resistance Factors'!$C$8,AP12*BZ12*'Load and Resistance Factors'!$C$8))</f>
        <v>---</v>
      </c>
      <c r="AS12" s="24">
        <v>0</v>
      </c>
      <c r="AT12" s="24" t="str">
        <f>IF(K12=0,"---",IF(L12&gt;=F12,AS12*M12*'Load and Resistance Factors'!$E$6,AS12*CB12*'Load and Resistance Factors'!$E$6))</f>
        <v>---</v>
      </c>
      <c r="AU12" s="24" t="str">
        <f>IF(K12=0,"---",IF(L12&gt;=F12,AS12*N12*'Load and Resistance Factors'!$E$6,AS12*BZ12*'Load and Resistance Factors'!$E$6))</f>
        <v>---</v>
      </c>
      <c r="AV12" s="24">
        <f>IF(K12=0,(AP12*'Load and Resistance Factors'!$C$8+AS12*'Load and Resistance Factors'!$E$8),AR12+AU12)</f>
        <v>3780</v>
      </c>
      <c r="AW12" s="24">
        <f>IF(K12=0,'Load and Resistance Factors'!$E$10*(SUM(AK12:AM12)*(TAN(RADIANS(W12)))),'Load and Resistance Factors'!$E$10*((SUM(AK12:AM12)+AQ12)*(TAN(RADIANS(W12)))))</f>
        <v>8838.655271023981</v>
      </c>
      <c r="AX12" s="24">
        <f t="shared" si="9"/>
        <v>15309.000000000002</v>
      </c>
      <c r="AY12" s="24">
        <f t="shared" si="10"/>
        <v>15309.000000000002</v>
      </c>
      <c r="AZ12" s="24">
        <f t="shared" si="11"/>
        <v>68890.50000000001</v>
      </c>
      <c r="BA12" s="24">
        <f>IF(K12=0,AZ12+(Z12*F12*(F12/2)*'Load and Resistance Factors'!$D$7),IF(L12&gt;=F12,AZ12+(AN12*(F12/2)),AZ12+(AN12*(L12+((F12-L12)/2)))))</f>
        <v>86609.25000000001</v>
      </c>
      <c r="BB12" s="24">
        <f>IF(K12=0,(AP12*'Load and Resistance Factors'!$C$8*(C12/3))+(AS12*'Load and Resistance Factors'!$E$8*(C12/2)),IF(L12&gt;=F12,(AR12*(AJ12/3))+(AU12*(AJ12/2)),(AR12*(AJ12/3))+(AU12*(AJ12/2))))</f>
        <v>15120</v>
      </c>
      <c r="BC12" s="21">
        <f t="shared" si="12"/>
        <v>0.9876543209876538</v>
      </c>
      <c r="BD12" s="21">
        <f t="shared" si="13"/>
        <v>-0.16975308641975317</v>
      </c>
      <c r="BE12" s="21">
        <f t="shared" si="14"/>
        <v>9.339506172839506</v>
      </c>
      <c r="BF12" s="21">
        <f t="shared" si="15"/>
        <v>2.25</v>
      </c>
      <c r="BG12" s="21">
        <f t="shared" si="16"/>
        <v>30.139627791519086</v>
      </c>
      <c r="BH12" s="21">
        <f t="shared" si="17"/>
        <v>18.401122218708668</v>
      </c>
      <c r="BI12" s="21">
        <f t="shared" si="18"/>
        <v>22.402486271104557</v>
      </c>
      <c r="BJ12" s="22">
        <f t="shared" si="19"/>
        <v>0</v>
      </c>
      <c r="BK12" s="23">
        <f t="shared" si="20"/>
        <v>0.3333333333333333</v>
      </c>
      <c r="BL12" s="4" t="str">
        <f t="shared" si="21"/>
        <v> ---</v>
      </c>
      <c r="BM12" s="25" t="str">
        <f t="shared" si="22"/>
        <v>  --</v>
      </c>
      <c r="BN12" s="21" t="str">
        <f t="shared" si="23"/>
        <v> ---</v>
      </c>
      <c r="BO12" s="27" t="str">
        <f t="shared" si="24"/>
        <v>---</v>
      </c>
      <c r="BP12" s="235">
        <f t="shared" si="25"/>
        <v>0.017453292519943295</v>
      </c>
      <c r="BQ12" s="235">
        <f t="shared" si="26"/>
        <v>0.5773502691896257</v>
      </c>
      <c r="BR12" s="235">
        <f t="shared" si="27"/>
        <v>0</v>
      </c>
      <c r="BS12" s="204" t="s">
        <v>1</v>
      </c>
      <c r="BT12" s="193" t="s">
        <v>128</v>
      </c>
      <c r="BU12" s="243">
        <f aca="true" t="shared" si="44" ref="BU12:BU30">L12*TAN(RADIANS(K12))</f>
        <v>0</v>
      </c>
      <c r="BV12" s="243">
        <f t="shared" si="28"/>
        <v>0</v>
      </c>
      <c r="BW12" s="244">
        <f t="shared" si="29"/>
        <v>1</v>
      </c>
      <c r="BX12" s="244">
        <f t="shared" si="30"/>
        <v>1</v>
      </c>
      <c r="BY12" s="245">
        <f t="shared" si="31"/>
        <v>0.7500000000000001</v>
      </c>
      <c r="BZ12" s="244">
        <f t="shared" si="32"/>
        <v>1</v>
      </c>
      <c r="CA12" s="244">
        <f t="shared" si="33"/>
        <v>1</v>
      </c>
      <c r="CB12" s="244">
        <f t="shared" si="34"/>
        <v>0</v>
      </c>
      <c r="CC12" s="162">
        <f t="shared" si="35"/>
        <v>0.4999999999999999</v>
      </c>
      <c r="CD12" s="162">
        <f t="shared" si="36"/>
        <v>0.5000000000000001</v>
      </c>
      <c r="CE12" s="162">
        <f t="shared" si="37"/>
        <v>1.5</v>
      </c>
      <c r="CF12" s="246">
        <f t="shared" si="38"/>
        <v>0.3333333333333334</v>
      </c>
      <c r="CG12" s="162">
        <f t="shared" si="39"/>
        <v>0.4999999999999999</v>
      </c>
      <c r="CH12" s="162">
        <f t="shared" si="40"/>
        <v>0.5000000000000001</v>
      </c>
      <c r="CI12" s="162">
        <f t="shared" si="41"/>
        <v>1.5</v>
      </c>
      <c r="CJ12" s="246">
        <f t="shared" si="42"/>
        <v>0.3333333333333334</v>
      </c>
    </row>
    <row r="13" spans="1:88" ht="18">
      <c r="A13" s="45" t="s">
        <v>61</v>
      </c>
      <c r="B13" s="271">
        <v>3</v>
      </c>
      <c r="C13" s="10">
        <f t="shared" si="0"/>
        <v>14</v>
      </c>
      <c r="D13" s="150">
        <f>'INPUT AND RESULTS'!D13</f>
        <v>12</v>
      </c>
      <c r="E13" s="150">
        <f>'INPUT AND RESULTS'!E13</f>
        <v>2</v>
      </c>
      <c r="F13" s="150">
        <f>'INPUT AND RESULTS'!F13</f>
        <v>10</v>
      </c>
      <c r="G13" s="9">
        <f t="shared" si="1"/>
        <v>4.13265306122449</v>
      </c>
      <c r="H13" s="9">
        <f t="shared" si="2"/>
        <v>0.4839506172839506</v>
      </c>
      <c r="I13" s="9">
        <f t="shared" si="3"/>
        <v>2.226922466874271</v>
      </c>
      <c r="J13" s="9">
        <f t="shared" si="43"/>
        <v>2.6083496958422105</v>
      </c>
      <c r="K13" s="150">
        <f>'INPUT AND RESULTS'!L13</f>
        <v>0</v>
      </c>
      <c r="L13" s="43">
        <f>'INPUT AND RESULTS'!M13</f>
        <v>200</v>
      </c>
      <c r="M13" s="151">
        <f>'INPUT AND RESULTS'!N13</f>
        <v>0</v>
      </c>
      <c r="N13" s="151">
        <f>'INPUT AND RESULTS'!O13</f>
        <v>1</v>
      </c>
      <c r="O13" s="150">
        <f>'INPUT AND RESULTS'!P13</f>
        <v>0</v>
      </c>
      <c r="P13" s="150">
        <f>'INPUT AND RESULTS'!Q13</f>
        <v>105</v>
      </c>
      <c r="Q13" s="150">
        <f>'INPUT AND RESULTS'!R13</f>
        <v>105</v>
      </c>
      <c r="R13" s="150">
        <f>'INPUT AND RESULTS'!S13</f>
        <v>30</v>
      </c>
      <c r="S13" s="150">
        <f>'INPUT AND RESULTS'!T13</f>
        <v>0</v>
      </c>
      <c r="T13" s="150">
        <f>'INPUT AND RESULTS'!U13</f>
        <v>105</v>
      </c>
      <c r="U13" s="150">
        <f>'INPUT AND RESULTS'!V13</f>
        <v>30</v>
      </c>
      <c r="V13" s="150">
        <f>'INPUT AND RESULTS'!W13</f>
        <v>0</v>
      </c>
      <c r="W13" s="150">
        <f>'INPUT AND RESULTS'!X13</f>
        <v>30</v>
      </c>
      <c r="X13" s="150">
        <f>'INPUT AND RESULTS'!Y13</f>
        <v>90</v>
      </c>
      <c r="Y13" s="150" t="str">
        <f>'INPUT AND RESULTS'!Z13</f>
        <v>I</v>
      </c>
      <c r="Z13" s="150">
        <f>'INPUT AND RESULTS'!AA13</f>
        <v>250</v>
      </c>
      <c r="AA13" s="150">
        <f>'INPUT AND RESULTS'!AB13</f>
        <v>250</v>
      </c>
      <c r="AB13" s="47" t="s">
        <v>61</v>
      </c>
      <c r="AC13" s="49">
        <f t="shared" si="4"/>
        <v>0.5</v>
      </c>
      <c r="AD13" s="272"/>
      <c r="AE13" s="272"/>
      <c r="AG13" s="24">
        <f t="shared" si="5"/>
        <v>2028.1389689978369</v>
      </c>
      <c r="AH13" s="26">
        <f>V13*BG13*'Load and Resistance Factors'!$E$11+0.5*(F13-2*BD13)*T13*BI13*'Load and Resistance Factors'!$E$11*AC13+T13*E13*BH13*'Load and Resistance Factors'!$E$11</f>
        <v>5290.0956629112425</v>
      </c>
      <c r="AI13" s="24">
        <v>0</v>
      </c>
      <c r="AJ13" s="21" t="str">
        <f t="shared" si="6"/>
        <v>---</v>
      </c>
      <c r="AK13" s="24">
        <f>(P13*C13*F13*'Load and Resistance Factors'!$B$8)</f>
        <v>19845</v>
      </c>
      <c r="AL13" s="24" t="str">
        <f>IF(K13=0,"---",IF(L13&gt;=F13,(0.5*P13*(AJ13-C13)*F13*'Load and Resistance Factors'!$B$8),(0.5*P13*(L13*(TAN(RADIANS(K13)))*L13*'Load and Resistance Factors'!$B$8))))</f>
        <v>---</v>
      </c>
      <c r="AM13" s="24" t="str">
        <f>IF(K13=0,"---",IF(L13&gt;=F13,"---",(P13*(L13*(TAN(RADIANS(K13))))*(F13-L13)*'Load and Resistance Factors'!$B$8)))</f>
        <v>---</v>
      </c>
      <c r="AN13" s="24">
        <v>0</v>
      </c>
      <c r="AO13" s="21">
        <f t="shared" si="7"/>
        <v>0</v>
      </c>
      <c r="AP13" s="24">
        <f t="shared" si="8"/>
        <v>3430</v>
      </c>
      <c r="AQ13" s="24" t="str">
        <f>IF(K13=0,"---",IF(L13&gt;=F13,AP13*M13*'Load and Resistance Factors'!$C$8,AP13*CB13*'Load and Resistance Factors'!$C$8))</f>
        <v>---</v>
      </c>
      <c r="AR13" s="24" t="str">
        <f>IF(K13=0,"---",IF(L13&gt;=F13,AP13*N13*'Load and Resistance Factors'!$C$8,AP13*BZ13*'Load and Resistance Factors'!$C$8))</f>
        <v>---</v>
      </c>
      <c r="AS13" s="24">
        <v>0</v>
      </c>
      <c r="AT13" s="24" t="str">
        <f>IF(K13=0,"---",IF(L13&gt;=F13,AS13*M13*'Load and Resistance Factors'!$E$6,AS13*CB13*'Load and Resistance Factors'!$E$6))</f>
        <v>---</v>
      </c>
      <c r="AU13" s="24" t="str">
        <f>IF(K13=0,"---",IF(L13&gt;=F13,AS13*N13*'Load and Resistance Factors'!$E$6,AS13*BZ13*'Load and Resistance Factors'!$E$6))</f>
        <v>---</v>
      </c>
      <c r="AV13" s="24">
        <f>IF(K13=0,(AP13*'Load and Resistance Factors'!$C$8+AS13*'Load and Resistance Factors'!$E$8),AR13+AU13)</f>
        <v>5145</v>
      </c>
      <c r="AW13" s="24">
        <f>IF(K13=0,'Load and Resistance Factors'!$E$10*(SUM(AK13:AM13)*(TAN(RADIANS(W13)))),'Load and Resistance Factors'!$E$10*((SUM(AK13:AM13)+AQ13)*(TAN(RADIANS(W13)))))</f>
        <v>11457.516092068123</v>
      </c>
      <c r="AX13" s="24">
        <f t="shared" si="9"/>
        <v>19845</v>
      </c>
      <c r="AY13" s="24">
        <f t="shared" si="10"/>
        <v>19845</v>
      </c>
      <c r="AZ13" s="24">
        <f t="shared" si="11"/>
        <v>99225</v>
      </c>
      <c r="BA13" s="24">
        <f>IF(K13=0,AZ13+(Z13*F13*(F13/2)*'Load and Resistance Factors'!$D$7),IF(L13&gt;=F13,AZ13+(AN13*(F13/2)),AZ13+(AN13*(L13+((F13-L13)/2)))))</f>
        <v>121100</v>
      </c>
      <c r="BB13" s="24">
        <f>IF(K13=0,(AP13*'Load and Resistance Factors'!$C$8*(C13/3))+(AS13*'Load and Resistance Factors'!$E$8*(C13/2)),IF(L13&gt;=F13,(AR13*(AJ13/3))+(AU13*(AJ13/2)),(AR13*(AJ13/3))+(AU13*(AJ13/2))))</f>
        <v>24010</v>
      </c>
      <c r="BC13" s="21">
        <f t="shared" si="12"/>
        <v>1.2098765432098766</v>
      </c>
      <c r="BD13" s="21">
        <f t="shared" si="13"/>
        <v>0.10758377425044063</v>
      </c>
      <c r="BE13" s="21">
        <f t="shared" si="14"/>
        <v>9.784832451499119</v>
      </c>
      <c r="BF13" s="21">
        <f t="shared" si="15"/>
        <v>2.5</v>
      </c>
      <c r="BG13" s="21">
        <f t="shared" si="16"/>
        <v>30.139627791519086</v>
      </c>
      <c r="BH13" s="21">
        <f t="shared" si="17"/>
        <v>18.401122218708668</v>
      </c>
      <c r="BI13" s="21">
        <f t="shared" si="18"/>
        <v>22.402486271104557</v>
      </c>
      <c r="BJ13" s="22">
        <f t="shared" si="19"/>
        <v>0</v>
      </c>
      <c r="BK13" s="23">
        <f t="shared" si="20"/>
        <v>0.3333333333333333</v>
      </c>
      <c r="BL13" s="1" t="str">
        <f t="shared" si="21"/>
        <v> ---</v>
      </c>
      <c r="BM13" s="25" t="str">
        <f t="shared" si="22"/>
        <v>  --</v>
      </c>
      <c r="BN13" s="21" t="str">
        <f t="shared" si="23"/>
        <v> ---</v>
      </c>
      <c r="BO13" s="27" t="str">
        <f t="shared" si="24"/>
        <v>---</v>
      </c>
      <c r="BP13" s="192">
        <f t="shared" si="25"/>
        <v>0.017453292519943295</v>
      </c>
      <c r="BQ13" s="192">
        <f t="shared" si="26"/>
        <v>0.5773502691896257</v>
      </c>
      <c r="BR13" s="192">
        <f t="shared" si="27"/>
        <v>0</v>
      </c>
      <c r="BS13" s="3" t="s">
        <v>1</v>
      </c>
      <c r="BT13" s="193">
        <v>1</v>
      </c>
      <c r="BU13" s="243">
        <f t="shared" si="44"/>
        <v>0</v>
      </c>
      <c r="BV13" s="243">
        <f t="shared" si="28"/>
        <v>0</v>
      </c>
      <c r="BW13" s="244">
        <f t="shared" si="29"/>
        <v>1</v>
      </c>
      <c r="BX13" s="244">
        <f t="shared" si="30"/>
        <v>1</v>
      </c>
      <c r="BY13" s="245">
        <f t="shared" si="31"/>
        <v>0.7500000000000001</v>
      </c>
      <c r="BZ13" s="244">
        <f t="shared" si="32"/>
        <v>1</v>
      </c>
      <c r="CA13" s="244">
        <f t="shared" si="33"/>
        <v>1</v>
      </c>
      <c r="CB13" s="244">
        <f t="shared" si="34"/>
        <v>0</v>
      </c>
      <c r="CC13" s="162">
        <f t="shared" si="35"/>
        <v>0.4999999999999999</v>
      </c>
      <c r="CD13" s="162">
        <f t="shared" si="36"/>
        <v>0.5000000000000001</v>
      </c>
      <c r="CE13" s="162">
        <f t="shared" si="37"/>
        <v>1.5</v>
      </c>
      <c r="CF13" s="246">
        <f t="shared" si="38"/>
        <v>0.3333333333333334</v>
      </c>
      <c r="CG13" s="162">
        <f t="shared" si="39"/>
        <v>0.4999999999999999</v>
      </c>
      <c r="CH13" s="162">
        <f t="shared" si="40"/>
        <v>0.5000000000000001</v>
      </c>
      <c r="CI13" s="162">
        <f t="shared" si="41"/>
        <v>1.5</v>
      </c>
      <c r="CJ13" s="246">
        <f t="shared" si="42"/>
        <v>0.3333333333333334</v>
      </c>
    </row>
    <row r="14" spans="1:88" ht="18">
      <c r="A14" s="45" t="s">
        <v>61</v>
      </c>
      <c r="B14" s="271">
        <v>4</v>
      </c>
      <c r="C14" s="10">
        <f t="shared" si="0"/>
        <v>16</v>
      </c>
      <c r="D14" s="150">
        <f>'INPUT AND RESULTS'!D14</f>
        <v>14</v>
      </c>
      <c r="E14" s="150">
        <f>'INPUT AND RESULTS'!E14</f>
        <v>2</v>
      </c>
      <c r="F14" s="150">
        <f>'INPUT AND RESULTS'!F14</f>
        <v>12</v>
      </c>
      <c r="G14" s="9">
        <f t="shared" si="1"/>
        <v>4.55625</v>
      </c>
      <c r="H14" s="9">
        <f t="shared" si="2"/>
        <v>0.4389574759945131</v>
      </c>
      <c r="I14" s="9">
        <f t="shared" si="3"/>
        <v>2.338268590217984</v>
      </c>
      <c r="J14" s="9">
        <f t="shared" si="43"/>
        <v>2.5337341803714213</v>
      </c>
      <c r="K14" s="150">
        <f>'INPUT AND RESULTS'!L14</f>
        <v>0</v>
      </c>
      <c r="L14" s="43">
        <f>'INPUT AND RESULTS'!M14</f>
        <v>200</v>
      </c>
      <c r="M14" s="151">
        <f>'INPUT AND RESULTS'!N14</f>
        <v>0</v>
      </c>
      <c r="N14" s="151">
        <f>'INPUT AND RESULTS'!O14</f>
        <v>1</v>
      </c>
      <c r="O14" s="150">
        <f>'INPUT AND RESULTS'!P14</f>
        <v>0</v>
      </c>
      <c r="P14" s="150">
        <f>'INPUT AND RESULTS'!Q14</f>
        <v>105</v>
      </c>
      <c r="Q14" s="150">
        <f>'INPUT AND RESULTS'!R14</f>
        <v>105</v>
      </c>
      <c r="R14" s="150">
        <f>'INPUT AND RESULTS'!S14</f>
        <v>30</v>
      </c>
      <c r="S14" s="150">
        <f>'INPUT AND RESULTS'!T14</f>
        <v>0</v>
      </c>
      <c r="T14" s="150">
        <f>'INPUT AND RESULTS'!U14</f>
        <v>105</v>
      </c>
      <c r="U14" s="150">
        <f>'INPUT AND RESULTS'!V14</f>
        <v>30</v>
      </c>
      <c r="V14" s="150">
        <f>'INPUT AND RESULTS'!W14</f>
        <v>0</v>
      </c>
      <c r="W14" s="150">
        <f>'INPUT AND RESULTS'!X14</f>
        <v>30</v>
      </c>
      <c r="X14" s="150">
        <f>'INPUT AND RESULTS'!Y14</f>
        <v>90</v>
      </c>
      <c r="Y14" s="150" t="str">
        <f>'INPUT AND RESULTS'!Z14</f>
        <v>I</v>
      </c>
      <c r="Z14" s="150">
        <f>'INPUT AND RESULTS'!AA14</f>
        <v>250</v>
      </c>
      <c r="AA14" s="150">
        <f>'INPUT AND RESULTS'!AB14</f>
        <v>250</v>
      </c>
      <c r="AB14" s="47" t="s">
        <v>61</v>
      </c>
      <c r="AC14" s="49">
        <f t="shared" si="4"/>
        <v>0.5</v>
      </c>
      <c r="AD14" s="272"/>
      <c r="AE14" s="272"/>
      <c r="AG14" s="24">
        <f t="shared" si="5"/>
        <v>2329.9235511713932</v>
      </c>
      <c r="AH14" s="26">
        <f>V14*BG14*'Load and Resistance Factors'!$E$11+0.5*(F14-2*BD14)*T14*BI14*'Load and Resistance Factors'!$E$11*AC14+T14*E14*BH14*'Load and Resistance Factors'!$E$11</f>
        <v>5903.406939255321</v>
      </c>
      <c r="AI14" s="24">
        <v>0</v>
      </c>
      <c r="AJ14" s="21" t="str">
        <f t="shared" si="6"/>
        <v>---</v>
      </c>
      <c r="AK14" s="24">
        <f>(P14*C14*F14*'Load and Resistance Factors'!$B$8)</f>
        <v>27216</v>
      </c>
      <c r="AL14" s="24" t="str">
        <f>IF(K14=0,"---",IF(L14&gt;=F14,(0.5*P14*(AJ14-C14)*F14*'Load and Resistance Factors'!$B$8),(0.5*P14*(L14*(TAN(RADIANS(K14)))*L14*'Load and Resistance Factors'!$B$8))))</f>
        <v>---</v>
      </c>
      <c r="AM14" s="24" t="str">
        <f>IF(K14=0,"---",IF(L14&gt;=F14,"---",(P14*(L14*(TAN(RADIANS(K14))))*(F14-L14)*'Load and Resistance Factors'!$B$8)))</f>
        <v>---</v>
      </c>
      <c r="AN14" s="24">
        <v>0</v>
      </c>
      <c r="AO14" s="21">
        <f t="shared" si="7"/>
        <v>0</v>
      </c>
      <c r="AP14" s="24">
        <f t="shared" si="8"/>
        <v>4480</v>
      </c>
      <c r="AQ14" s="24" t="str">
        <f>IF(K14=0,"---",IF(L14&gt;=F14,AP14*M14*'Load and Resistance Factors'!$C$8,AP14*CB14*'Load and Resistance Factors'!$C$8))</f>
        <v>---</v>
      </c>
      <c r="AR14" s="24" t="str">
        <f>IF(K14=0,"---",IF(L14&gt;=F14,AP14*N14*'Load and Resistance Factors'!$C$8,AP14*BZ14*'Load and Resistance Factors'!$C$8))</f>
        <v>---</v>
      </c>
      <c r="AS14" s="24">
        <v>0</v>
      </c>
      <c r="AT14" s="24" t="str">
        <f>IF(K14=0,"---",IF(L14&gt;=F14,AS14*M14*'Load and Resistance Factors'!$E$6,AS14*CB14*'Load and Resistance Factors'!$E$6))</f>
        <v>---</v>
      </c>
      <c r="AU14" s="24" t="str">
        <f>IF(K14=0,"---",IF(L14&gt;=F14,AS14*N14*'Load and Resistance Factors'!$E$6,AS14*BZ14*'Load and Resistance Factors'!$E$6))</f>
        <v>---</v>
      </c>
      <c r="AV14" s="24">
        <f>IF(K14=0,(AP14*'Load and Resistance Factors'!$C$8+AS14*'Load and Resistance Factors'!$E$8),AR14+AU14)</f>
        <v>6720</v>
      </c>
      <c r="AW14" s="24">
        <f>IF(K14=0,'Load and Resistance Factors'!$E$10*(SUM(AK14:AM14)*(TAN(RADIANS(W14)))),'Load and Resistance Factors'!$E$10*((SUM(AK14:AM14)+AQ14)*(TAN(RADIANS(W14)))))</f>
        <v>15713.164926264853</v>
      </c>
      <c r="AX14" s="24">
        <f t="shared" si="9"/>
        <v>27216</v>
      </c>
      <c r="AY14" s="24">
        <f t="shared" si="10"/>
        <v>27216</v>
      </c>
      <c r="AZ14" s="24">
        <f t="shared" si="11"/>
        <v>163296</v>
      </c>
      <c r="BA14" s="24">
        <f>IF(K14=0,AZ14+(Z14*F14*(F14/2)*'Load and Resistance Factors'!$D$7),IF(L14&gt;=F14,AZ14+(AN14*(F14/2)),AZ14+(AN14*(L14+((F14-L14)/2)))))</f>
        <v>194796</v>
      </c>
      <c r="BB14" s="24">
        <f>IF(K14=0,(AP14*'Load and Resistance Factors'!$C$8*(C14/3))+(AS14*'Load and Resistance Factors'!$E$8*(C14/2)),IF(L14&gt;=F14,(AR14*(AJ14/3))+(AU14*(AJ14/2)),(AR14*(AJ14/3))+(AU14*(AJ14/2))))</f>
        <v>35840</v>
      </c>
      <c r="BC14" s="21">
        <f t="shared" si="12"/>
        <v>1.3168724279835393</v>
      </c>
      <c r="BD14" s="21">
        <f t="shared" si="13"/>
        <v>0.15946502057613188</v>
      </c>
      <c r="BE14" s="21">
        <f t="shared" si="14"/>
        <v>11.681069958847736</v>
      </c>
      <c r="BF14" s="21">
        <f t="shared" si="15"/>
        <v>3</v>
      </c>
      <c r="BG14" s="21">
        <f t="shared" si="16"/>
        <v>30.139627791519086</v>
      </c>
      <c r="BH14" s="21">
        <f t="shared" si="17"/>
        <v>18.401122218708668</v>
      </c>
      <c r="BI14" s="21">
        <f t="shared" si="18"/>
        <v>22.402486271104557</v>
      </c>
      <c r="BJ14" s="22">
        <f t="shared" si="19"/>
        <v>0</v>
      </c>
      <c r="BK14" s="23">
        <f t="shared" si="20"/>
        <v>0.3333333333333333</v>
      </c>
      <c r="BL14" s="4" t="str">
        <f t="shared" si="21"/>
        <v> ---</v>
      </c>
      <c r="BM14" s="25" t="str">
        <f t="shared" si="22"/>
        <v>  --</v>
      </c>
      <c r="BN14" s="21" t="str">
        <f t="shared" si="23"/>
        <v> ---</v>
      </c>
      <c r="BO14" s="27" t="str">
        <f t="shared" si="24"/>
        <v>---</v>
      </c>
      <c r="BP14" s="235">
        <f t="shared" si="25"/>
        <v>0.017453292519943295</v>
      </c>
      <c r="BQ14" s="235">
        <f t="shared" si="26"/>
        <v>0.5773502691896257</v>
      </c>
      <c r="BR14" s="235">
        <f t="shared" si="27"/>
        <v>0</v>
      </c>
      <c r="BS14" s="204" t="s">
        <v>1</v>
      </c>
      <c r="BT14" s="193">
        <f aca="true" t="shared" si="45" ref="BT14:BT30">BT13+1</f>
        <v>2</v>
      </c>
      <c r="BU14" s="243">
        <f t="shared" si="44"/>
        <v>0</v>
      </c>
      <c r="BV14" s="243">
        <f t="shared" si="28"/>
        <v>0</v>
      </c>
      <c r="BW14" s="244">
        <f t="shared" si="29"/>
        <v>1</v>
      </c>
      <c r="BX14" s="244">
        <f t="shared" si="30"/>
        <v>1</v>
      </c>
      <c r="BY14" s="245">
        <f t="shared" si="31"/>
        <v>0.7500000000000001</v>
      </c>
      <c r="BZ14" s="244">
        <f t="shared" si="32"/>
        <v>1</v>
      </c>
      <c r="CA14" s="244">
        <f t="shared" si="33"/>
        <v>1</v>
      </c>
      <c r="CB14" s="244">
        <f t="shared" si="34"/>
        <v>0</v>
      </c>
      <c r="CC14" s="162">
        <f t="shared" si="35"/>
        <v>0.4999999999999999</v>
      </c>
      <c r="CD14" s="162">
        <f t="shared" si="36"/>
        <v>0.5000000000000001</v>
      </c>
      <c r="CE14" s="162">
        <f t="shared" si="37"/>
        <v>1.5</v>
      </c>
      <c r="CF14" s="246">
        <f t="shared" si="38"/>
        <v>0.3333333333333334</v>
      </c>
      <c r="CG14" s="162">
        <f t="shared" si="39"/>
        <v>0.4999999999999999</v>
      </c>
      <c r="CH14" s="162">
        <f t="shared" si="40"/>
        <v>0.5000000000000001</v>
      </c>
      <c r="CI14" s="162">
        <f t="shared" si="41"/>
        <v>1.5</v>
      </c>
      <c r="CJ14" s="246">
        <f t="shared" si="42"/>
        <v>0.3333333333333334</v>
      </c>
    </row>
    <row r="15" spans="1:88" ht="18">
      <c r="A15" s="45" t="s">
        <v>61</v>
      </c>
      <c r="B15" s="271">
        <v>5</v>
      </c>
      <c r="C15" s="10">
        <f t="shared" si="0"/>
        <v>18</v>
      </c>
      <c r="D15" s="150">
        <f>'INPUT AND RESULTS'!D15</f>
        <v>16</v>
      </c>
      <c r="E15" s="150">
        <f>'INPUT AND RESULTS'!E15</f>
        <v>2</v>
      </c>
      <c r="F15" s="150">
        <f>'INPUT AND RESULTS'!F15</f>
        <v>13</v>
      </c>
      <c r="G15" s="9">
        <f t="shared" si="1"/>
        <v>4.225</v>
      </c>
      <c r="H15" s="9">
        <f t="shared" si="2"/>
        <v>0.47337278106508873</v>
      </c>
      <c r="I15" s="9">
        <f t="shared" si="3"/>
        <v>2.25166604983954</v>
      </c>
      <c r="J15" s="9">
        <f t="shared" si="43"/>
        <v>2.2186260763421184</v>
      </c>
      <c r="K15" s="150">
        <f>'INPUT AND RESULTS'!L15</f>
        <v>0</v>
      </c>
      <c r="L15" s="43">
        <f>'INPUT AND RESULTS'!M15</f>
        <v>200</v>
      </c>
      <c r="M15" s="151">
        <f>'INPUT AND RESULTS'!N15</f>
        <v>0</v>
      </c>
      <c r="N15" s="151">
        <f>'INPUT AND RESULTS'!O15</f>
        <v>1</v>
      </c>
      <c r="O15" s="150">
        <f>'INPUT AND RESULTS'!P15</f>
        <v>0</v>
      </c>
      <c r="P15" s="150">
        <f>'INPUT AND RESULTS'!Q15</f>
        <v>105</v>
      </c>
      <c r="Q15" s="150">
        <f>'INPUT AND RESULTS'!R15</f>
        <v>105</v>
      </c>
      <c r="R15" s="150">
        <f>'INPUT AND RESULTS'!S15</f>
        <v>30</v>
      </c>
      <c r="S15" s="150">
        <f>'INPUT AND RESULTS'!T15</f>
        <v>0</v>
      </c>
      <c r="T15" s="150">
        <f>'INPUT AND RESULTS'!U15</f>
        <v>105</v>
      </c>
      <c r="U15" s="150">
        <f>'INPUT AND RESULTS'!V15</f>
        <v>30</v>
      </c>
      <c r="V15" s="150">
        <f>'INPUT AND RESULTS'!W15</f>
        <v>0</v>
      </c>
      <c r="W15" s="150">
        <f>'INPUT AND RESULTS'!X15</f>
        <v>30</v>
      </c>
      <c r="X15" s="150">
        <f>'INPUT AND RESULTS'!Y15</f>
        <v>90</v>
      </c>
      <c r="Y15" s="150" t="str">
        <f>'INPUT AND RESULTS'!Z15</f>
        <v>I</v>
      </c>
      <c r="Z15" s="150">
        <f>'INPUT AND RESULTS'!AA15</f>
        <v>250</v>
      </c>
      <c r="AA15" s="150">
        <f>'INPUT AND RESULTS'!AB15</f>
        <v>250</v>
      </c>
      <c r="AB15" s="47" t="s">
        <v>61</v>
      </c>
      <c r="AC15" s="49">
        <f t="shared" si="4"/>
        <v>0.5</v>
      </c>
      <c r="AD15" s="272"/>
      <c r="AE15" s="272"/>
      <c r="AG15" s="24">
        <f t="shared" si="5"/>
        <v>2729.515234531025</v>
      </c>
      <c r="AH15" s="26">
        <f>V15*BG15*'Load and Resistance Factors'!$E$11+0.5*(F15-2*BD15)*T15*BI15*'Load and Resistance Factors'!$E$11*AC15+T15*E15*BH15*'Load and Resistance Factors'!$E$11</f>
        <v>6055.773675103605</v>
      </c>
      <c r="AI15" s="24">
        <v>0</v>
      </c>
      <c r="AJ15" s="21" t="str">
        <f t="shared" si="6"/>
        <v>---</v>
      </c>
      <c r="AK15" s="24">
        <f>(P15*C15*F15*'Load and Resistance Factors'!$B$8)</f>
        <v>33169.5</v>
      </c>
      <c r="AL15" s="24" t="str">
        <f>IF(K15=0,"---",IF(L15&gt;=F15,(0.5*P15*(AJ15-C15)*F15*'Load and Resistance Factors'!$B$8),(0.5*P15*(L15*(TAN(RADIANS(K15)))*L15*'Load and Resistance Factors'!$B$8))))</f>
        <v>---</v>
      </c>
      <c r="AM15" s="24" t="str">
        <f>IF(K15=0,"---",IF(L15&gt;=F15,"---",(P15*(L15*(TAN(RADIANS(K15))))*(F15-L15)*'Load and Resistance Factors'!$B$8)))</f>
        <v>---</v>
      </c>
      <c r="AN15" s="24">
        <v>0</v>
      </c>
      <c r="AO15" s="21">
        <f t="shared" si="7"/>
        <v>0</v>
      </c>
      <c r="AP15" s="24">
        <f t="shared" si="8"/>
        <v>5670</v>
      </c>
      <c r="AQ15" s="24" t="str">
        <f>IF(K15=0,"---",IF(L15&gt;=F15,AP15*M15*'Load and Resistance Factors'!$C$8,AP15*CB15*'Load and Resistance Factors'!$C$8))</f>
        <v>---</v>
      </c>
      <c r="AR15" s="24" t="str">
        <f>IF(K15=0,"---",IF(L15&gt;=F15,AP15*N15*'Load and Resistance Factors'!$C$8,AP15*BZ15*'Load and Resistance Factors'!$C$8))</f>
        <v>---</v>
      </c>
      <c r="AS15" s="24">
        <v>0</v>
      </c>
      <c r="AT15" s="24" t="str">
        <f>IF(K15=0,"---",IF(L15&gt;=F15,AS15*M15*'Load and Resistance Factors'!$E$6,AS15*CB15*'Load and Resistance Factors'!$E$6))</f>
        <v>---</v>
      </c>
      <c r="AU15" s="24" t="str">
        <f>IF(K15=0,"---",IF(L15&gt;=F15,AS15*N15*'Load and Resistance Factors'!$E$6,AS15*BZ15*'Load and Resistance Factors'!$E$6))</f>
        <v>---</v>
      </c>
      <c r="AV15" s="24">
        <f>IF(K15=0,(AP15*'Load and Resistance Factors'!$C$8+AS15*'Load and Resistance Factors'!$E$8),AR15+AU15)</f>
        <v>8505</v>
      </c>
      <c r="AW15" s="24">
        <f>IF(K15=0,'Load and Resistance Factors'!$E$10*(SUM(AK15:AM15)*(TAN(RADIANS(W15)))),'Load and Resistance Factors'!$E$10*((SUM(AK15:AM15)+AQ15)*(TAN(RADIANS(W15)))))</f>
        <v>19150.41975388529</v>
      </c>
      <c r="AX15" s="24">
        <f t="shared" si="9"/>
        <v>33169.5</v>
      </c>
      <c r="AY15" s="24">
        <f t="shared" si="10"/>
        <v>33169.5</v>
      </c>
      <c r="AZ15" s="24">
        <f t="shared" si="11"/>
        <v>215601.75</v>
      </c>
      <c r="BA15" s="24">
        <f>IF(K15=0,AZ15+(Z15*F15*(F15/2)*'Load and Resistance Factors'!$D$7),IF(L15&gt;=F15,AZ15+(AN15*(F15/2)),AZ15+(AN15*(L15+((F15-L15)/2)))))</f>
        <v>252570.5</v>
      </c>
      <c r="BB15" s="24">
        <f>IF(K15=0,(AP15*'Load and Resistance Factors'!$C$8*(C15/3))+(AS15*'Load and Resistance Factors'!$E$8*(C15/2)),IF(L15&gt;=F15,(AR15*(AJ15/3))+(AU15*(AJ15/2)),(AR15*(AJ15/3))+(AU15*(AJ15/2))))</f>
        <v>51030</v>
      </c>
      <c r="BC15" s="21">
        <f t="shared" si="12"/>
        <v>1.5384615384615383</v>
      </c>
      <c r="BD15" s="21">
        <f t="shared" si="13"/>
        <v>0.4239210720692199</v>
      </c>
      <c r="BE15" s="21">
        <f t="shared" si="14"/>
        <v>12.15215785586156</v>
      </c>
      <c r="BF15" s="21">
        <f t="shared" si="15"/>
        <v>3.25</v>
      </c>
      <c r="BG15" s="21">
        <f t="shared" si="16"/>
        <v>30.139627791519086</v>
      </c>
      <c r="BH15" s="21">
        <f t="shared" si="17"/>
        <v>18.401122218708668</v>
      </c>
      <c r="BI15" s="21">
        <f t="shared" si="18"/>
        <v>22.402486271104557</v>
      </c>
      <c r="BJ15" s="22">
        <f t="shared" si="19"/>
        <v>0</v>
      </c>
      <c r="BK15" s="23">
        <f t="shared" si="20"/>
        <v>0.3333333333333333</v>
      </c>
      <c r="BL15" s="1" t="str">
        <f t="shared" si="21"/>
        <v> ---</v>
      </c>
      <c r="BM15" s="25" t="str">
        <f t="shared" si="22"/>
        <v>  --</v>
      </c>
      <c r="BN15" s="21" t="str">
        <f t="shared" si="23"/>
        <v> ---</v>
      </c>
      <c r="BO15" s="27" t="str">
        <f t="shared" si="24"/>
        <v>---</v>
      </c>
      <c r="BP15" s="192">
        <f t="shared" si="25"/>
        <v>0.017453292519943295</v>
      </c>
      <c r="BQ15" s="192">
        <f t="shared" si="26"/>
        <v>0.5773502691896257</v>
      </c>
      <c r="BR15" s="192">
        <f t="shared" si="27"/>
        <v>0</v>
      </c>
      <c r="BS15" s="3" t="s">
        <v>1</v>
      </c>
      <c r="BT15" s="193">
        <f t="shared" si="45"/>
        <v>3</v>
      </c>
      <c r="BU15" s="243">
        <f t="shared" si="44"/>
        <v>0</v>
      </c>
      <c r="BV15" s="243">
        <f t="shared" si="28"/>
        <v>0</v>
      </c>
      <c r="BW15" s="244">
        <f t="shared" si="29"/>
        <v>1</v>
      </c>
      <c r="BX15" s="244">
        <f t="shared" si="30"/>
        <v>1</v>
      </c>
      <c r="BY15" s="245">
        <f t="shared" si="31"/>
        <v>0.7500000000000001</v>
      </c>
      <c r="BZ15" s="244">
        <f t="shared" si="32"/>
        <v>1</v>
      </c>
      <c r="CA15" s="244">
        <f t="shared" si="33"/>
        <v>1</v>
      </c>
      <c r="CB15" s="244">
        <f t="shared" si="34"/>
        <v>0</v>
      </c>
      <c r="CC15" s="162">
        <f t="shared" si="35"/>
        <v>0.4999999999999999</v>
      </c>
      <c r="CD15" s="162">
        <f t="shared" si="36"/>
        <v>0.5000000000000001</v>
      </c>
      <c r="CE15" s="162">
        <f t="shared" si="37"/>
        <v>1.5</v>
      </c>
      <c r="CF15" s="246">
        <f t="shared" si="38"/>
        <v>0.3333333333333334</v>
      </c>
      <c r="CG15" s="162">
        <f t="shared" si="39"/>
        <v>0.4999999999999999</v>
      </c>
      <c r="CH15" s="162">
        <f t="shared" si="40"/>
        <v>0.5000000000000001</v>
      </c>
      <c r="CI15" s="162">
        <f t="shared" si="41"/>
        <v>1.5</v>
      </c>
      <c r="CJ15" s="246">
        <f t="shared" si="42"/>
        <v>0.3333333333333334</v>
      </c>
    </row>
    <row r="16" spans="1:88" ht="18">
      <c r="A16" s="45" t="s">
        <v>61</v>
      </c>
      <c r="B16" s="271">
        <v>6</v>
      </c>
      <c r="C16" s="10">
        <f t="shared" si="0"/>
        <v>20</v>
      </c>
      <c r="D16" s="150">
        <f>'INPUT AND RESULTS'!D16</f>
        <v>18</v>
      </c>
      <c r="E16" s="150">
        <f>'INPUT AND RESULTS'!E16</f>
        <v>2</v>
      </c>
      <c r="F16" s="150">
        <f>'INPUT AND RESULTS'!F16</f>
        <v>14</v>
      </c>
      <c r="G16" s="9">
        <f t="shared" si="1"/>
        <v>3.969</v>
      </c>
      <c r="H16" s="9">
        <f t="shared" si="2"/>
        <v>0.5039052658100278</v>
      </c>
      <c r="I16" s="9">
        <f t="shared" si="3"/>
        <v>2.1823840175367852</v>
      </c>
      <c r="J16" s="9">
        <f t="shared" si="43"/>
        <v>1.9770448390855984</v>
      </c>
      <c r="K16" s="150">
        <f>'INPUT AND RESULTS'!L16</f>
        <v>0</v>
      </c>
      <c r="L16" s="43">
        <f>'INPUT AND RESULTS'!M16</f>
        <v>200</v>
      </c>
      <c r="M16" s="151">
        <f>'INPUT AND RESULTS'!N16</f>
        <v>0</v>
      </c>
      <c r="N16" s="151">
        <f>'INPUT AND RESULTS'!O16</f>
        <v>1</v>
      </c>
      <c r="O16" s="150">
        <f>'INPUT AND RESULTS'!P16</f>
        <v>0</v>
      </c>
      <c r="P16" s="150">
        <f>'INPUT AND RESULTS'!Q16</f>
        <v>105</v>
      </c>
      <c r="Q16" s="150">
        <f>'INPUT AND RESULTS'!R16</f>
        <v>105</v>
      </c>
      <c r="R16" s="150">
        <f>'INPUT AND RESULTS'!S16</f>
        <v>30</v>
      </c>
      <c r="S16" s="150">
        <f>'INPUT AND RESULTS'!T16</f>
        <v>0</v>
      </c>
      <c r="T16" s="150">
        <f>'INPUT AND RESULTS'!U16</f>
        <v>105</v>
      </c>
      <c r="U16" s="150">
        <f>'INPUT AND RESULTS'!V16</f>
        <v>30</v>
      </c>
      <c r="V16" s="150">
        <f>'INPUT AND RESULTS'!W16</f>
        <v>0</v>
      </c>
      <c r="W16" s="150">
        <f>'INPUT AND RESULTS'!X16</f>
        <v>30</v>
      </c>
      <c r="X16" s="150">
        <f>'INPUT AND RESULTS'!Y16</f>
        <v>90</v>
      </c>
      <c r="Y16" s="150" t="str">
        <f>'INPUT AND RESULTS'!Z16</f>
        <v>I</v>
      </c>
      <c r="Z16" s="150">
        <f>'INPUT AND RESULTS'!AA16</f>
        <v>250</v>
      </c>
      <c r="AA16" s="150">
        <f>'INPUT AND RESULTS'!AB16</f>
        <v>250</v>
      </c>
      <c r="AB16" s="47" t="s">
        <v>61</v>
      </c>
      <c r="AC16" s="49">
        <f t="shared" si="4"/>
        <v>0.5</v>
      </c>
      <c r="AD16" s="272"/>
      <c r="AE16" s="272"/>
      <c r="AG16" s="24">
        <f t="shared" si="5"/>
        <v>3141.732514309647</v>
      </c>
      <c r="AH16" s="26">
        <f>V16*BG16*'Load and Resistance Factors'!$E$11+0.5*(F16-2*BD16)*T16*BI16*'Load and Resistance Factors'!$E$11*AC16+T16*E16*BH16*'Load and Resistance Factors'!$E$11</f>
        <v>6211.346053203308</v>
      </c>
      <c r="AI16" s="24">
        <v>0</v>
      </c>
      <c r="AJ16" s="21" t="str">
        <f t="shared" si="6"/>
        <v>---</v>
      </c>
      <c r="AK16" s="24">
        <f>(P16*C16*F16*'Load and Resistance Factors'!$B$8)</f>
        <v>39690</v>
      </c>
      <c r="AL16" s="24" t="str">
        <f>IF(K16=0,"---",IF(L16&gt;=F16,(0.5*P16*(AJ16-C16)*F16*'Load and Resistance Factors'!$B$8),(0.5*P16*(L16*(TAN(RADIANS(K16)))*L16*'Load and Resistance Factors'!$B$8))))</f>
        <v>---</v>
      </c>
      <c r="AM16" s="24" t="str">
        <f>IF(K16=0,"---",IF(L16&gt;=F16,"---",(P16*(L16*(TAN(RADIANS(K16))))*(F16-L16)*'Load and Resistance Factors'!$B$8)))</f>
        <v>---</v>
      </c>
      <c r="AN16" s="24">
        <v>0</v>
      </c>
      <c r="AO16" s="21">
        <f t="shared" si="7"/>
        <v>0</v>
      </c>
      <c r="AP16" s="24">
        <f t="shared" si="8"/>
        <v>7000</v>
      </c>
      <c r="AQ16" s="24" t="str">
        <f>IF(K16=0,"---",IF(L16&gt;=F16,AP16*M16*'Load and Resistance Factors'!$C$8,AP16*CB16*'Load and Resistance Factors'!$C$8))</f>
        <v>---</v>
      </c>
      <c r="AR16" s="24" t="str">
        <f>IF(K16=0,"---",IF(L16&gt;=F16,AP16*N16*'Load and Resistance Factors'!$C$8,AP16*BZ16*'Load and Resistance Factors'!$C$8))</f>
        <v>---</v>
      </c>
      <c r="AS16" s="24">
        <v>0</v>
      </c>
      <c r="AT16" s="24" t="str">
        <f>IF(K16=0,"---",IF(L16&gt;=F16,AS16*M16*'Load and Resistance Factors'!$E$6,AS16*CB16*'Load and Resistance Factors'!$E$6))</f>
        <v>---</v>
      </c>
      <c r="AU16" s="24" t="str">
        <f>IF(K16=0,"---",IF(L16&gt;=F16,AS16*N16*'Load and Resistance Factors'!$E$6,AS16*BZ16*'Load and Resistance Factors'!$E$6))</f>
        <v>---</v>
      </c>
      <c r="AV16" s="24">
        <f>IF(K16=0,(AP16*'Load and Resistance Factors'!$C$8+AS16*'Load and Resistance Factors'!$E$8),AR16+AU16)</f>
        <v>10500</v>
      </c>
      <c r="AW16" s="24">
        <f>IF(K16=0,'Load and Resistance Factors'!$E$10*(SUM(AK16:AM16)*(TAN(RADIANS(W16)))),'Load and Resistance Factors'!$E$10*((SUM(AK16:AM16)+AQ16)*(TAN(RADIANS(W16)))))</f>
        <v>22915.032184136246</v>
      </c>
      <c r="AX16" s="24">
        <f t="shared" si="9"/>
        <v>39690</v>
      </c>
      <c r="AY16" s="24">
        <f t="shared" si="10"/>
        <v>39690</v>
      </c>
      <c r="AZ16" s="24">
        <f t="shared" si="11"/>
        <v>277830</v>
      </c>
      <c r="BA16" s="24">
        <f>IF(K16=0,AZ16+(Z16*F16*(F16/2)*'Load and Resistance Factors'!$D$7),IF(L16&gt;=F16,AZ16+(AN16*(F16/2)),AZ16+(AN16*(L16+((F16-L16)/2)))))</f>
        <v>320705</v>
      </c>
      <c r="BB16" s="24">
        <f>IF(K16=0,(AP16*'Load and Resistance Factors'!$C$8*(C16/3))+(AS16*'Load and Resistance Factors'!$E$8*(C16/2)),IF(L16&gt;=F16,(AR16*(AJ16/3))+(AU16*(AJ16/2)),(AR16*(AJ16/3))+(AU16*(AJ16/2))))</f>
        <v>70000</v>
      </c>
      <c r="BC16" s="21">
        <f t="shared" si="12"/>
        <v>1.7636684303350973</v>
      </c>
      <c r="BD16" s="21">
        <f t="shared" si="13"/>
        <v>0.6834215167548505</v>
      </c>
      <c r="BE16" s="21">
        <f t="shared" si="14"/>
        <v>12.633156966490299</v>
      </c>
      <c r="BF16" s="21">
        <f t="shared" si="15"/>
        <v>3.5</v>
      </c>
      <c r="BG16" s="21">
        <f t="shared" si="16"/>
        <v>30.139627791519086</v>
      </c>
      <c r="BH16" s="21">
        <f t="shared" si="17"/>
        <v>18.401122218708668</v>
      </c>
      <c r="BI16" s="21">
        <f t="shared" si="18"/>
        <v>22.402486271104557</v>
      </c>
      <c r="BJ16" s="22">
        <f t="shared" si="19"/>
        <v>0</v>
      </c>
      <c r="BK16" s="23">
        <f t="shared" si="20"/>
        <v>0.3333333333333333</v>
      </c>
      <c r="BL16" s="4" t="str">
        <f t="shared" si="21"/>
        <v> ---</v>
      </c>
      <c r="BM16" s="25" t="str">
        <f t="shared" si="22"/>
        <v>  --</v>
      </c>
      <c r="BN16" s="21" t="str">
        <f t="shared" si="23"/>
        <v> ---</v>
      </c>
      <c r="BO16" s="27" t="str">
        <f t="shared" si="24"/>
        <v>---</v>
      </c>
      <c r="BP16" s="235">
        <f t="shared" si="25"/>
        <v>0.017453292519943295</v>
      </c>
      <c r="BQ16" s="235">
        <f t="shared" si="26"/>
        <v>0.5773502691896257</v>
      </c>
      <c r="BR16" s="235">
        <f t="shared" si="27"/>
        <v>0</v>
      </c>
      <c r="BS16" s="204" t="s">
        <v>1</v>
      </c>
      <c r="BT16" s="193">
        <f t="shared" si="45"/>
        <v>4</v>
      </c>
      <c r="BU16" s="243">
        <f t="shared" si="44"/>
        <v>0</v>
      </c>
      <c r="BV16" s="243">
        <f t="shared" si="28"/>
        <v>0</v>
      </c>
      <c r="BW16" s="244">
        <f t="shared" si="29"/>
        <v>1</v>
      </c>
      <c r="BX16" s="244">
        <f t="shared" si="30"/>
        <v>1</v>
      </c>
      <c r="BY16" s="245">
        <f t="shared" si="31"/>
        <v>0.7500000000000001</v>
      </c>
      <c r="BZ16" s="244">
        <f t="shared" si="32"/>
        <v>1</v>
      </c>
      <c r="CA16" s="244">
        <f t="shared" si="33"/>
        <v>1</v>
      </c>
      <c r="CB16" s="244">
        <f t="shared" si="34"/>
        <v>0</v>
      </c>
      <c r="CC16" s="162">
        <f t="shared" si="35"/>
        <v>0.4999999999999999</v>
      </c>
      <c r="CD16" s="162">
        <f t="shared" si="36"/>
        <v>0.5000000000000001</v>
      </c>
      <c r="CE16" s="162">
        <f t="shared" si="37"/>
        <v>1.5</v>
      </c>
      <c r="CF16" s="246">
        <f t="shared" si="38"/>
        <v>0.3333333333333334</v>
      </c>
      <c r="CG16" s="162">
        <f t="shared" si="39"/>
        <v>0.4999999999999999</v>
      </c>
      <c r="CH16" s="162">
        <f t="shared" si="40"/>
        <v>0.5000000000000001</v>
      </c>
      <c r="CI16" s="162">
        <f t="shared" si="41"/>
        <v>1.5</v>
      </c>
      <c r="CJ16" s="246">
        <f t="shared" si="42"/>
        <v>0.3333333333333334</v>
      </c>
    </row>
    <row r="17" spans="1:88" ht="18">
      <c r="A17" s="45" t="s">
        <v>61</v>
      </c>
      <c r="B17" s="271">
        <v>7</v>
      </c>
      <c r="C17" s="10">
        <f t="shared" si="0"/>
        <v>22</v>
      </c>
      <c r="D17" s="150">
        <f>'INPUT AND RESULTS'!D17</f>
        <v>20</v>
      </c>
      <c r="E17" s="150">
        <f>'INPUT AND RESULTS'!E17</f>
        <v>2</v>
      </c>
      <c r="F17" s="150">
        <f>'INPUT AND RESULTS'!F17</f>
        <v>16</v>
      </c>
      <c r="G17" s="9">
        <f t="shared" si="1"/>
        <v>4.284297520661157</v>
      </c>
      <c r="H17" s="9">
        <f t="shared" si="2"/>
        <v>0.466820987654321</v>
      </c>
      <c r="I17" s="9">
        <f t="shared" si="3"/>
        <v>2.2674119662719847</v>
      </c>
      <c r="J17" s="9">
        <f t="shared" si="43"/>
        <v>1.9828427388423464</v>
      </c>
      <c r="K17" s="150">
        <f>'INPUT AND RESULTS'!L17</f>
        <v>0</v>
      </c>
      <c r="L17" s="43">
        <f>'INPUT AND RESULTS'!M17</f>
        <v>200</v>
      </c>
      <c r="M17" s="151">
        <f>'INPUT AND RESULTS'!N17</f>
        <v>0</v>
      </c>
      <c r="N17" s="151">
        <f>'INPUT AND RESULTS'!O17</f>
        <v>1</v>
      </c>
      <c r="O17" s="150">
        <f>'INPUT AND RESULTS'!P17</f>
        <v>0</v>
      </c>
      <c r="P17" s="150">
        <f>'INPUT AND RESULTS'!Q17</f>
        <v>105</v>
      </c>
      <c r="Q17" s="150">
        <f>'INPUT AND RESULTS'!R17</f>
        <v>105</v>
      </c>
      <c r="R17" s="150">
        <f>'INPUT AND RESULTS'!S17</f>
        <v>30</v>
      </c>
      <c r="S17" s="150">
        <f>'INPUT AND RESULTS'!T17</f>
        <v>0</v>
      </c>
      <c r="T17" s="150">
        <f>'INPUT AND RESULTS'!U17</f>
        <v>105</v>
      </c>
      <c r="U17" s="150">
        <f>'INPUT AND RESULTS'!V17</f>
        <v>30</v>
      </c>
      <c r="V17" s="150">
        <f>'INPUT AND RESULTS'!W17</f>
        <v>0</v>
      </c>
      <c r="W17" s="150">
        <f>'INPUT AND RESULTS'!X17</f>
        <v>30</v>
      </c>
      <c r="X17" s="150">
        <f>'INPUT AND RESULTS'!Y17</f>
        <v>90</v>
      </c>
      <c r="Y17" s="150" t="str">
        <f>'INPUT AND RESULTS'!Z17</f>
        <v>I</v>
      </c>
      <c r="Z17" s="150">
        <f>'INPUT AND RESULTS'!AA17</f>
        <v>250</v>
      </c>
      <c r="AA17" s="150">
        <f>'INPUT AND RESULTS'!AB17</f>
        <v>250</v>
      </c>
      <c r="AB17" s="47" t="s">
        <v>61</v>
      </c>
      <c r="AC17" s="49">
        <f t="shared" si="4"/>
        <v>0.5</v>
      </c>
      <c r="AD17" s="272"/>
      <c r="AE17" s="272"/>
      <c r="AG17" s="24">
        <f t="shared" si="5"/>
        <v>3438.7079707622693</v>
      </c>
      <c r="AH17" s="26">
        <f>V17*BG17*'Load and Resistance Factors'!$E$11+0.5*(F17-2*BD17)*T17*BI17*'Load and Resistance Factors'!$E$11*AC17+T17*E17*BH17*'Load and Resistance Factors'!$E$11</f>
        <v>6818.417130825265</v>
      </c>
      <c r="AI17" s="24">
        <v>0</v>
      </c>
      <c r="AJ17" s="21" t="str">
        <f t="shared" si="6"/>
        <v>---</v>
      </c>
      <c r="AK17" s="24">
        <f>(P17*C17*F17*'Load and Resistance Factors'!$B$8)</f>
        <v>49896</v>
      </c>
      <c r="AL17" s="24" t="str">
        <f>IF(K17=0,"---",IF(L17&gt;=F17,(0.5*P17*(AJ17-C17)*F17*'Load and Resistance Factors'!$B$8),(0.5*P17*(L17*(TAN(RADIANS(K17)))*L17*'Load and Resistance Factors'!$B$8))))</f>
        <v>---</v>
      </c>
      <c r="AM17" s="24" t="str">
        <f>IF(K17=0,"---",IF(L17&gt;=F17,"---",(P17*(L17*(TAN(RADIANS(K17))))*(F17-L17)*'Load and Resistance Factors'!$B$8)))</f>
        <v>---</v>
      </c>
      <c r="AN17" s="24">
        <v>0</v>
      </c>
      <c r="AO17" s="21">
        <f t="shared" si="7"/>
        <v>0</v>
      </c>
      <c r="AP17" s="24">
        <f t="shared" si="8"/>
        <v>8470</v>
      </c>
      <c r="AQ17" s="24" t="str">
        <f>IF(K17=0,"---",IF(L17&gt;=F17,AP17*M17*'Load and Resistance Factors'!$C$8,AP17*CB17*'Load and Resistance Factors'!$C$8))</f>
        <v>---</v>
      </c>
      <c r="AR17" s="24" t="str">
        <f>IF(K17=0,"---",IF(L17&gt;=F17,AP17*N17*'Load and Resistance Factors'!$C$8,AP17*BZ17*'Load and Resistance Factors'!$C$8))</f>
        <v>---</v>
      </c>
      <c r="AS17" s="24">
        <v>0</v>
      </c>
      <c r="AT17" s="24" t="str">
        <f>IF(K17=0,"---",IF(L17&gt;=F17,AS17*M17*'Load and Resistance Factors'!$E$6,AS17*CB17*'Load and Resistance Factors'!$E$6))</f>
        <v>---</v>
      </c>
      <c r="AU17" s="24" t="str">
        <f>IF(K17=0,"---",IF(L17&gt;=F17,AS17*N17*'Load and Resistance Factors'!$E$6,AS17*BZ17*'Load and Resistance Factors'!$E$6))</f>
        <v>---</v>
      </c>
      <c r="AV17" s="24">
        <f>IF(K17=0,(AP17*'Load and Resistance Factors'!$C$8+AS17*'Load and Resistance Factors'!$E$8),AR17+AU17)</f>
        <v>12705</v>
      </c>
      <c r="AW17" s="24">
        <f>IF(K17=0,'Load and Resistance Factors'!$E$10*(SUM(AK17:AM17)*(TAN(RADIANS(W17)))),'Load and Resistance Factors'!$E$10*((SUM(AK17:AM17)+AQ17)*(TAN(RADIANS(W17)))))</f>
        <v>28807.469031485565</v>
      </c>
      <c r="AX17" s="24">
        <f t="shared" si="9"/>
        <v>49896</v>
      </c>
      <c r="AY17" s="24">
        <f t="shared" si="10"/>
        <v>49896</v>
      </c>
      <c r="AZ17" s="24">
        <f t="shared" si="11"/>
        <v>399168</v>
      </c>
      <c r="BA17" s="24">
        <f>IF(K17=0,AZ17+(Z17*F17*(F17/2)*'Load and Resistance Factors'!$D$7),IF(L17&gt;=F17,AZ17+(AN17*(F17/2)),AZ17+(AN17*(L17+((F17-L17)/2)))))</f>
        <v>455168</v>
      </c>
      <c r="BB17" s="24">
        <f>IF(K17=0,(AP17*'Load and Resistance Factors'!$C$8*(C17/3))+(AS17*'Load and Resistance Factors'!$E$8*(C17/2)),IF(L17&gt;=F17,(AR17*(AJ17/3))+(AU17*(AJ17/2)),(AR17*(AJ17/3))+(AU17*(AJ17/2))))</f>
        <v>93170</v>
      </c>
      <c r="BC17" s="21">
        <f t="shared" si="12"/>
        <v>1.867283950617284</v>
      </c>
      <c r="BD17" s="21">
        <f t="shared" si="13"/>
        <v>0.7449494949494948</v>
      </c>
      <c r="BE17" s="21">
        <f t="shared" si="14"/>
        <v>14.51010101010101</v>
      </c>
      <c r="BF17" s="21">
        <f t="shared" si="15"/>
        <v>4</v>
      </c>
      <c r="BG17" s="21">
        <f t="shared" si="16"/>
        <v>30.139627791519086</v>
      </c>
      <c r="BH17" s="21">
        <f t="shared" si="17"/>
        <v>18.401122218708668</v>
      </c>
      <c r="BI17" s="21">
        <f t="shared" si="18"/>
        <v>22.402486271104557</v>
      </c>
      <c r="BJ17" s="22">
        <f t="shared" si="19"/>
        <v>0</v>
      </c>
      <c r="BK17" s="23">
        <f t="shared" si="20"/>
        <v>0.3333333333333333</v>
      </c>
      <c r="BL17" s="1" t="str">
        <f t="shared" si="21"/>
        <v> ---</v>
      </c>
      <c r="BM17" s="25" t="str">
        <f t="shared" si="22"/>
        <v>  --</v>
      </c>
      <c r="BN17" s="21" t="str">
        <f t="shared" si="23"/>
        <v> ---</v>
      </c>
      <c r="BO17" s="27" t="str">
        <f t="shared" si="24"/>
        <v>---</v>
      </c>
      <c r="BP17" s="192">
        <f t="shared" si="25"/>
        <v>0.017453292519943295</v>
      </c>
      <c r="BQ17" s="192">
        <f t="shared" si="26"/>
        <v>0.5773502691896257</v>
      </c>
      <c r="BR17" s="192">
        <f t="shared" si="27"/>
        <v>0</v>
      </c>
      <c r="BS17" s="3" t="s">
        <v>1</v>
      </c>
      <c r="BT17" s="193">
        <f t="shared" si="45"/>
        <v>5</v>
      </c>
      <c r="BU17" s="243">
        <f t="shared" si="44"/>
        <v>0</v>
      </c>
      <c r="BV17" s="243">
        <f t="shared" si="28"/>
        <v>0</v>
      </c>
      <c r="BW17" s="244">
        <f t="shared" si="29"/>
        <v>1</v>
      </c>
      <c r="BX17" s="244">
        <f t="shared" si="30"/>
        <v>1</v>
      </c>
      <c r="BY17" s="245">
        <f t="shared" si="31"/>
        <v>0.7500000000000001</v>
      </c>
      <c r="BZ17" s="244">
        <f t="shared" si="32"/>
        <v>1</v>
      </c>
      <c r="CA17" s="244">
        <f t="shared" si="33"/>
        <v>1</v>
      </c>
      <c r="CB17" s="244">
        <f t="shared" si="34"/>
        <v>0</v>
      </c>
      <c r="CC17" s="162">
        <f t="shared" si="35"/>
        <v>0.4999999999999999</v>
      </c>
      <c r="CD17" s="162">
        <f t="shared" si="36"/>
        <v>0.5000000000000001</v>
      </c>
      <c r="CE17" s="162">
        <f t="shared" si="37"/>
        <v>1.5</v>
      </c>
      <c r="CF17" s="246">
        <f t="shared" si="38"/>
        <v>0.3333333333333334</v>
      </c>
      <c r="CG17" s="162">
        <f t="shared" si="39"/>
        <v>0.4999999999999999</v>
      </c>
      <c r="CH17" s="162">
        <f t="shared" si="40"/>
        <v>0.5000000000000001</v>
      </c>
      <c r="CI17" s="162">
        <f t="shared" si="41"/>
        <v>1.5</v>
      </c>
      <c r="CJ17" s="246">
        <f t="shared" si="42"/>
        <v>0.3333333333333334</v>
      </c>
    </row>
    <row r="18" spans="1:88" ht="18">
      <c r="A18" s="45" t="s">
        <v>61</v>
      </c>
      <c r="B18" s="271">
        <v>8</v>
      </c>
      <c r="C18" s="10">
        <f t="shared" si="0"/>
        <v>24</v>
      </c>
      <c r="D18" s="150">
        <f>'INPUT AND RESULTS'!D18</f>
        <v>22</v>
      </c>
      <c r="E18" s="150">
        <f>'INPUT AND RESULTS'!E18</f>
        <v>2</v>
      </c>
      <c r="F18" s="150">
        <f>'INPUT AND RESULTS'!F18</f>
        <v>17</v>
      </c>
      <c r="G18" s="9">
        <f t="shared" si="1"/>
        <v>4.0640625</v>
      </c>
      <c r="H18" s="9">
        <f t="shared" si="2"/>
        <v>0.4921184159938484</v>
      </c>
      <c r="I18" s="9">
        <f t="shared" si="3"/>
        <v>2.208364779650319</v>
      </c>
      <c r="J18" s="9">
        <f t="shared" si="43"/>
        <v>1.8101975163204014</v>
      </c>
      <c r="K18" s="150">
        <f>'INPUT AND RESULTS'!L18</f>
        <v>0</v>
      </c>
      <c r="L18" s="43">
        <f>'INPUT AND RESULTS'!M18</f>
        <v>200</v>
      </c>
      <c r="M18" s="151">
        <f>'INPUT AND RESULTS'!N18</f>
        <v>0</v>
      </c>
      <c r="N18" s="151">
        <f>'INPUT AND RESULTS'!O18</f>
        <v>1</v>
      </c>
      <c r="O18" s="150">
        <f>'INPUT AND RESULTS'!P18</f>
        <v>0</v>
      </c>
      <c r="P18" s="150">
        <f>'INPUT AND RESULTS'!Q18</f>
        <v>105</v>
      </c>
      <c r="Q18" s="150">
        <f>'INPUT AND RESULTS'!R18</f>
        <v>105</v>
      </c>
      <c r="R18" s="150">
        <f>'INPUT AND RESULTS'!S18</f>
        <v>30</v>
      </c>
      <c r="S18" s="150">
        <f>'INPUT AND RESULTS'!T18</f>
        <v>0</v>
      </c>
      <c r="T18" s="150">
        <f>'INPUT AND RESULTS'!U18</f>
        <v>105</v>
      </c>
      <c r="U18" s="150">
        <f>'INPUT AND RESULTS'!V18</f>
        <v>30</v>
      </c>
      <c r="V18" s="150">
        <f>'INPUT AND RESULTS'!W18</f>
        <v>0</v>
      </c>
      <c r="W18" s="150">
        <f>'INPUT AND RESULTS'!X18</f>
        <v>30</v>
      </c>
      <c r="X18" s="150">
        <f>'INPUT AND RESULTS'!Y18</f>
        <v>90</v>
      </c>
      <c r="Y18" s="150" t="str">
        <f>'INPUT AND RESULTS'!Z18</f>
        <v>I</v>
      </c>
      <c r="Z18" s="150">
        <f>'INPUT AND RESULTS'!AA18</f>
        <v>250</v>
      </c>
      <c r="AA18" s="150">
        <f>'INPUT AND RESULTS'!AB18</f>
        <v>250</v>
      </c>
      <c r="AB18" s="47" t="s">
        <v>61</v>
      </c>
      <c r="AC18" s="49">
        <f t="shared" si="4"/>
        <v>0.5</v>
      </c>
      <c r="AD18" s="272"/>
      <c r="AE18" s="272"/>
      <c r="AG18" s="24">
        <f t="shared" si="5"/>
        <v>3854.7757318091435</v>
      </c>
      <c r="AH18" s="26">
        <f>V18*BG18*'Load and Resistance Factors'!$E$11+0.5*(F18-2*BD18)*T18*BI18*'Load and Resistance Factors'!$E$11*AC18+T18*E18*BH18*'Load and Resistance Factors'!$E$11</f>
        <v>6977.90545569307</v>
      </c>
      <c r="AI18" s="24">
        <v>0</v>
      </c>
      <c r="AJ18" s="21" t="str">
        <f t="shared" si="6"/>
        <v>---</v>
      </c>
      <c r="AK18" s="24">
        <f>(P18*C18*F18*'Load and Resistance Factors'!$B$8)</f>
        <v>57834.00000000001</v>
      </c>
      <c r="AL18" s="24" t="str">
        <f>IF(K18=0,"---",IF(L18&gt;=F18,(0.5*P18*(AJ18-C18)*F18*'Load and Resistance Factors'!$B$8),(0.5*P18*(L18*(TAN(RADIANS(K18)))*L18*'Load and Resistance Factors'!$B$8))))</f>
        <v>---</v>
      </c>
      <c r="AM18" s="24" t="str">
        <f>IF(K18=0,"---",IF(L18&gt;=F18,"---",(P18*(L18*(TAN(RADIANS(K18))))*(F18-L18)*'Load and Resistance Factors'!$B$8)))</f>
        <v>---</v>
      </c>
      <c r="AN18" s="24">
        <v>0</v>
      </c>
      <c r="AO18" s="21">
        <f t="shared" si="7"/>
        <v>0</v>
      </c>
      <c r="AP18" s="24">
        <f t="shared" si="8"/>
        <v>10080</v>
      </c>
      <c r="AQ18" s="24" t="str">
        <f>IF(K18=0,"---",IF(L18&gt;=F18,AP18*M18*'Load and Resistance Factors'!$C$8,AP18*CB18*'Load and Resistance Factors'!$C$8))</f>
        <v>---</v>
      </c>
      <c r="AR18" s="24" t="str">
        <f>IF(K18=0,"---",IF(L18&gt;=F18,AP18*N18*'Load and Resistance Factors'!$C$8,AP18*BZ18*'Load and Resistance Factors'!$C$8))</f>
        <v>---</v>
      </c>
      <c r="AS18" s="24">
        <v>0</v>
      </c>
      <c r="AT18" s="24" t="str">
        <f>IF(K18=0,"---",IF(L18&gt;=F18,AS18*M18*'Load and Resistance Factors'!$E$6,AS18*CB18*'Load and Resistance Factors'!$E$6))</f>
        <v>---</v>
      </c>
      <c r="AU18" s="24" t="str">
        <f>IF(K18=0,"---",IF(L18&gt;=F18,AS18*N18*'Load and Resistance Factors'!$E$6,AS18*BZ18*'Load and Resistance Factors'!$E$6))</f>
        <v>---</v>
      </c>
      <c r="AV18" s="24">
        <f>IF(K18=0,(AP18*'Load and Resistance Factors'!$C$8+AS18*'Load and Resistance Factors'!$E$8),AR18+AU18)</f>
        <v>15120</v>
      </c>
      <c r="AW18" s="24">
        <f>IF(K18=0,'Load and Resistance Factors'!$E$10*(SUM(AK18:AM18)*(TAN(RADIANS(W18)))),'Load and Resistance Factors'!$E$10*((SUM(AK18:AM18)+AQ18)*(TAN(RADIANS(W18)))))</f>
        <v>33390.47546831282</v>
      </c>
      <c r="AX18" s="24">
        <f t="shared" si="9"/>
        <v>57834.00000000001</v>
      </c>
      <c r="AY18" s="24">
        <f t="shared" si="10"/>
        <v>57834.00000000001</v>
      </c>
      <c r="AZ18" s="24">
        <f t="shared" si="11"/>
        <v>491589.00000000006</v>
      </c>
      <c r="BA18" s="24">
        <f>IF(K18=0,AZ18+(Z18*F18*(F18/2)*'Load and Resistance Factors'!$D$7),IF(L18&gt;=F18,AZ18+(AN18*(F18/2)),AZ18+(AN18*(L18+((F18-L18)/2)))))</f>
        <v>554807.75</v>
      </c>
      <c r="BB18" s="24">
        <f>IF(K18=0,(AP18*'Load and Resistance Factors'!$C$8*(C18/3))+(AS18*'Load and Resistance Factors'!$E$8*(C18/2)),IF(L18&gt;=F18,(AR18*(AJ18/3))+(AU18*(AJ18/2)),(AR18*(AJ18/3))+(AU18*(AJ18/2))))</f>
        <v>120960</v>
      </c>
      <c r="BC18" s="21">
        <f t="shared" si="12"/>
        <v>2.091503267973856</v>
      </c>
      <c r="BD18" s="21">
        <f t="shared" si="13"/>
        <v>0.9983962720890833</v>
      </c>
      <c r="BE18" s="21">
        <f t="shared" si="14"/>
        <v>15.003207455821833</v>
      </c>
      <c r="BF18" s="21">
        <f t="shared" si="15"/>
        <v>4.25</v>
      </c>
      <c r="BG18" s="21">
        <f t="shared" si="16"/>
        <v>30.139627791519086</v>
      </c>
      <c r="BH18" s="21">
        <f t="shared" si="17"/>
        <v>18.401122218708668</v>
      </c>
      <c r="BI18" s="21">
        <f t="shared" si="18"/>
        <v>22.402486271104557</v>
      </c>
      <c r="BJ18" s="22">
        <f t="shared" si="19"/>
        <v>0</v>
      </c>
      <c r="BK18" s="23">
        <f t="shared" si="20"/>
        <v>0.3333333333333333</v>
      </c>
      <c r="BL18" s="4" t="str">
        <f t="shared" si="21"/>
        <v> ---</v>
      </c>
      <c r="BM18" s="25" t="str">
        <f t="shared" si="22"/>
        <v>  --</v>
      </c>
      <c r="BN18" s="21" t="str">
        <f t="shared" si="23"/>
        <v> ---</v>
      </c>
      <c r="BO18" s="27" t="str">
        <f t="shared" si="24"/>
        <v>---</v>
      </c>
      <c r="BP18" s="235">
        <f t="shared" si="25"/>
        <v>0.017453292519943295</v>
      </c>
      <c r="BQ18" s="235">
        <f t="shared" si="26"/>
        <v>0.5773502691896257</v>
      </c>
      <c r="BR18" s="235">
        <f t="shared" si="27"/>
        <v>0</v>
      </c>
      <c r="BS18" s="204" t="s">
        <v>1</v>
      </c>
      <c r="BT18" s="193">
        <f t="shared" si="45"/>
        <v>6</v>
      </c>
      <c r="BU18" s="243">
        <f t="shared" si="44"/>
        <v>0</v>
      </c>
      <c r="BV18" s="243">
        <f t="shared" si="28"/>
        <v>0</v>
      </c>
      <c r="BW18" s="244">
        <f t="shared" si="29"/>
        <v>1</v>
      </c>
      <c r="BX18" s="244">
        <f t="shared" si="30"/>
        <v>1</v>
      </c>
      <c r="BY18" s="245">
        <f t="shared" si="31"/>
        <v>0.7500000000000001</v>
      </c>
      <c r="BZ18" s="244">
        <f t="shared" si="32"/>
        <v>1</v>
      </c>
      <c r="CA18" s="244">
        <f t="shared" si="33"/>
        <v>1</v>
      </c>
      <c r="CB18" s="244">
        <f t="shared" si="34"/>
        <v>0</v>
      </c>
      <c r="CC18" s="162">
        <f t="shared" si="35"/>
        <v>0.4999999999999999</v>
      </c>
      <c r="CD18" s="162">
        <f t="shared" si="36"/>
        <v>0.5000000000000001</v>
      </c>
      <c r="CE18" s="162">
        <f t="shared" si="37"/>
        <v>1.5</v>
      </c>
      <c r="CF18" s="246">
        <f t="shared" si="38"/>
        <v>0.3333333333333334</v>
      </c>
      <c r="CG18" s="162">
        <f t="shared" si="39"/>
        <v>0.4999999999999999</v>
      </c>
      <c r="CH18" s="162">
        <f t="shared" si="40"/>
        <v>0.5000000000000001</v>
      </c>
      <c r="CI18" s="162">
        <f t="shared" si="41"/>
        <v>1.5</v>
      </c>
      <c r="CJ18" s="246">
        <f t="shared" si="42"/>
        <v>0.3333333333333334</v>
      </c>
    </row>
    <row r="19" spans="1:88" ht="18">
      <c r="A19" s="45" t="s">
        <v>61</v>
      </c>
      <c r="B19" s="271">
        <v>9</v>
      </c>
      <c r="C19" s="10">
        <f t="shared" si="0"/>
        <v>26</v>
      </c>
      <c r="D19" s="150">
        <f>'INPUT AND RESULTS'!D19</f>
        <v>24</v>
      </c>
      <c r="E19" s="150">
        <f>'INPUT AND RESULTS'!E19</f>
        <v>2</v>
      </c>
      <c r="F19" s="150">
        <f>'INPUT AND RESULTS'!F19</f>
        <v>19</v>
      </c>
      <c r="G19" s="9">
        <f t="shared" si="1"/>
        <v>4.325591715976332</v>
      </c>
      <c r="H19" s="9">
        <f t="shared" si="2"/>
        <v>0.4623644882185971</v>
      </c>
      <c r="I19" s="9">
        <f t="shared" si="3"/>
        <v>2.2783129853406</v>
      </c>
      <c r="J19" s="9">
        <f t="shared" si="43"/>
        <v>1.8252452582641348</v>
      </c>
      <c r="K19" s="150">
        <f>'INPUT AND RESULTS'!L19</f>
        <v>0</v>
      </c>
      <c r="L19" s="43">
        <f>'INPUT AND RESULTS'!M19</f>
        <v>200</v>
      </c>
      <c r="M19" s="151">
        <f>'INPUT AND RESULTS'!N19</f>
        <v>0</v>
      </c>
      <c r="N19" s="151">
        <f>'INPUT AND RESULTS'!O19</f>
        <v>1</v>
      </c>
      <c r="O19" s="150">
        <f>'INPUT AND RESULTS'!P19</f>
        <v>0</v>
      </c>
      <c r="P19" s="150">
        <f>'INPUT AND RESULTS'!Q19</f>
        <v>105</v>
      </c>
      <c r="Q19" s="150">
        <f>'INPUT AND RESULTS'!R19</f>
        <v>105</v>
      </c>
      <c r="R19" s="150">
        <f>'INPUT AND RESULTS'!S19</f>
        <v>30</v>
      </c>
      <c r="S19" s="150">
        <f>'INPUT AND RESULTS'!T19</f>
        <v>0</v>
      </c>
      <c r="T19" s="150">
        <f>'INPUT AND RESULTS'!U19</f>
        <v>105</v>
      </c>
      <c r="U19" s="150">
        <f>'INPUT AND RESULTS'!V19</f>
        <v>30</v>
      </c>
      <c r="V19" s="150">
        <f>'INPUT AND RESULTS'!W19</f>
        <v>0</v>
      </c>
      <c r="W19" s="150">
        <f>'INPUT AND RESULTS'!X19</f>
        <v>30</v>
      </c>
      <c r="X19" s="150">
        <f>'INPUT AND RESULTS'!Y19</f>
        <v>90</v>
      </c>
      <c r="Y19" s="150" t="str">
        <f>'INPUT AND RESULTS'!Z19</f>
        <v>I</v>
      </c>
      <c r="Z19" s="150">
        <f>'INPUT AND RESULTS'!AA19</f>
        <v>250</v>
      </c>
      <c r="AA19" s="150">
        <f>'INPUT AND RESULTS'!AB19</f>
        <v>250</v>
      </c>
      <c r="AB19" s="47" t="s">
        <v>61</v>
      </c>
      <c r="AC19" s="49">
        <f t="shared" si="4"/>
        <v>0.5</v>
      </c>
      <c r="AD19" s="272"/>
      <c r="AE19" s="272"/>
      <c r="AG19" s="24">
        <f t="shared" si="5"/>
        <v>4152.553431166229</v>
      </c>
      <c r="AH19" s="26">
        <f>V19*BG19*'Load and Resistance Factors'!$E$11+0.5*(F19-2*BD19)*T19*BI19*'Load and Resistance Factors'!$E$11*AC19+T19*E19*BH19*'Load and Resistance Factors'!$E$11</f>
        <v>7579.428459924622</v>
      </c>
      <c r="AI19" s="24">
        <v>0</v>
      </c>
      <c r="AJ19" s="21" t="str">
        <f t="shared" si="6"/>
        <v>---</v>
      </c>
      <c r="AK19" s="24">
        <f>(P19*C19*F19*'Load and Resistance Factors'!$B$8)</f>
        <v>70024.5</v>
      </c>
      <c r="AL19" s="24" t="str">
        <f>IF(K19=0,"---",IF(L19&gt;=F19,(0.5*P19*(AJ19-C19)*F19*'Load and Resistance Factors'!$B$8),(0.5*P19*(L19*(TAN(RADIANS(K19)))*L19*'Load and Resistance Factors'!$B$8))))</f>
        <v>---</v>
      </c>
      <c r="AM19" s="24" t="str">
        <f>IF(K19=0,"---",IF(L19&gt;=F19,"---",(P19*(L19*(TAN(RADIANS(K19))))*(F19-L19)*'Load and Resistance Factors'!$B$8)))</f>
        <v>---</v>
      </c>
      <c r="AN19" s="24">
        <v>0</v>
      </c>
      <c r="AO19" s="21">
        <f t="shared" si="7"/>
        <v>0</v>
      </c>
      <c r="AP19" s="24">
        <f t="shared" si="8"/>
        <v>11830</v>
      </c>
      <c r="AQ19" s="24" t="str">
        <f>IF(K19=0,"---",IF(L19&gt;=F19,AP19*M19*'Load and Resistance Factors'!$C$8,AP19*CB19*'Load and Resistance Factors'!$C$8))</f>
        <v>---</v>
      </c>
      <c r="AR19" s="24" t="str">
        <f>IF(K19=0,"---",IF(L19&gt;=F19,AP19*N19*'Load and Resistance Factors'!$C$8,AP19*BZ19*'Load and Resistance Factors'!$C$8))</f>
        <v>---</v>
      </c>
      <c r="AS19" s="24">
        <v>0</v>
      </c>
      <c r="AT19" s="24" t="str">
        <f>IF(K19=0,"---",IF(L19&gt;=F19,AS19*M19*'Load and Resistance Factors'!$E$6,AS19*CB19*'Load and Resistance Factors'!$E$6))</f>
        <v>---</v>
      </c>
      <c r="AU19" s="24" t="str">
        <f>IF(K19=0,"---",IF(L19&gt;=F19,AS19*N19*'Load and Resistance Factors'!$E$6,AS19*BZ19*'Load and Resistance Factors'!$E$6))</f>
        <v>---</v>
      </c>
      <c r="AV19" s="24">
        <f>IF(K19=0,(AP19*'Load and Resistance Factors'!$C$8+AS19*'Load and Resistance Factors'!$E$8),AR19+AU19)</f>
        <v>17745</v>
      </c>
      <c r="AW19" s="24">
        <f>IF(K19=0,'Load and Resistance Factors'!$E$10*(SUM(AK19:AM19)*(TAN(RADIANS(W19)))),'Load and Resistance Factors'!$E$10*((SUM(AK19:AM19)+AQ19)*(TAN(RADIANS(W19)))))</f>
        <v>40428.663924868946</v>
      </c>
      <c r="AX19" s="24">
        <f t="shared" si="9"/>
        <v>70024.5</v>
      </c>
      <c r="AY19" s="24">
        <f t="shared" si="10"/>
        <v>70024.5</v>
      </c>
      <c r="AZ19" s="24">
        <f t="shared" si="11"/>
        <v>665232.75</v>
      </c>
      <c r="BA19" s="24">
        <f>IF(K19=0,AZ19+(Z19*F19*(F19/2)*'Load and Resistance Factors'!$D$7),IF(L19&gt;=F19,AZ19+(AN19*(F19/2)),AZ19+(AN19*(L19+((F19-L19)/2)))))</f>
        <v>744201.5</v>
      </c>
      <c r="BB19" s="24">
        <f>IF(K19=0,(AP19*'Load and Resistance Factors'!$C$8*(C19/3))+(AS19*'Load and Resistance Factors'!$E$8*(C19/2)),IF(L19&gt;=F19,(AR19*(AJ19/3))+(AU19*(AJ19/2)),(AR19*(AJ19/3))+(AU19*(AJ19/2))))</f>
        <v>153790</v>
      </c>
      <c r="BC19" s="21">
        <f t="shared" si="12"/>
        <v>2.1962313190383362</v>
      </c>
      <c r="BD19" s="21">
        <f t="shared" si="13"/>
        <v>1.0685010246413746</v>
      </c>
      <c r="BE19" s="21">
        <f t="shared" si="14"/>
        <v>16.86299795071725</v>
      </c>
      <c r="BF19" s="21">
        <f t="shared" si="15"/>
        <v>4.75</v>
      </c>
      <c r="BG19" s="21">
        <f t="shared" si="16"/>
        <v>30.139627791519086</v>
      </c>
      <c r="BH19" s="21">
        <f t="shared" si="17"/>
        <v>18.401122218708668</v>
      </c>
      <c r="BI19" s="21">
        <f t="shared" si="18"/>
        <v>22.402486271104557</v>
      </c>
      <c r="BJ19" s="22">
        <f t="shared" si="19"/>
        <v>0</v>
      </c>
      <c r="BK19" s="23">
        <f t="shared" si="20"/>
        <v>0.3333333333333333</v>
      </c>
      <c r="BL19" s="1" t="str">
        <f t="shared" si="21"/>
        <v> ---</v>
      </c>
      <c r="BM19" s="25" t="str">
        <f t="shared" si="22"/>
        <v>  --</v>
      </c>
      <c r="BN19" s="21" t="str">
        <f t="shared" si="23"/>
        <v> ---</v>
      </c>
      <c r="BO19" s="27" t="str">
        <f t="shared" si="24"/>
        <v>---</v>
      </c>
      <c r="BP19" s="192">
        <f t="shared" si="25"/>
        <v>0.017453292519943295</v>
      </c>
      <c r="BQ19" s="192">
        <f t="shared" si="26"/>
        <v>0.5773502691896257</v>
      </c>
      <c r="BR19" s="192">
        <f t="shared" si="27"/>
        <v>0</v>
      </c>
      <c r="BS19" s="3" t="s">
        <v>1</v>
      </c>
      <c r="BT19" s="193">
        <f t="shared" si="45"/>
        <v>7</v>
      </c>
      <c r="BU19" s="243">
        <f t="shared" si="44"/>
        <v>0</v>
      </c>
      <c r="BV19" s="243">
        <f t="shared" si="28"/>
        <v>0</v>
      </c>
      <c r="BW19" s="244">
        <f t="shared" si="29"/>
        <v>1</v>
      </c>
      <c r="BX19" s="244">
        <f t="shared" si="30"/>
        <v>1</v>
      </c>
      <c r="BY19" s="245">
        <f t="shared" si="31"/>
        <v>0.7500000000000001</v>
      </c>
      <c r="BZ19" s="244">
        <f t="shared" si="32"/>
        <v>1</v>
      </c>
      <c r="CA19" s="244">
        <f t="shared" si="33"/>
        <v>1</v>
      </c>
      <c r="CB19" s="244">
        <f t="shared" si="34"/>
        <v>0</v>
      </c>
      <c r="CC19" s="162">
        <f t="shared" si="35"/>
        <v>0.4999999999999999</v>
      </c>
      <c r="CD19" s="162">
        <f t="shared" si="36"/>
        <v>0.5000000000000001</v>
      </c>
      <c r="CE19" s="162">
        <f t="shared" si="37"/>
        <v>1.5</v>
      </c>
      <c r="CF19" s="246">
        <f t="shared" si="38"/>
        <v>0.3333333333333334</v>
      </c>
      <c r="CG19" s="162">
        <f t="shared" si="39"/>
        <v>0.4999999999999999</v>
      </c>
      <c r="CH19" s="162">
        <f t="shared" si="40"/>
        <v>0.5000000000000001</v>
      </c>
      <c r="CI19" s="162">
        <f t="shared" si="41"/>
        <v>1.5</v>
      </c>
      <c r="CJ19" s="246">
        <f t="shared" si="42"/>
        <v>0.3333333333333334</v>
      </c>
    </row>
    <row r="20" spans="1:88" ht="18">
      <c r="A20" s="45" t="s">
        <v>61</v>
      </c>
      <c r="B20" s="271">
        <v>10</v>
      </c>
      <c r="C20" s="10">
        <f t="shared" si="0"/>
        <v>28</v>
      </c>
      <c r="D20" s="150">
        <f>'INPUT AND RESULTS'!D20</f>
        <v>26</v>
      </c>
      <c r="E20" s="150">
        <f>'INPUT AND RESULTS'!E20</f>
        <v>2</v>
      </c>
      <c r="F20" s="150">
        <f>'INPUT AND RESULTS'!F20</f>
        <v>20</v>
      </c>
      <c r="G20" s="9">
        <f t="shared" si="1"/>
        <v>4.13265306122449</v>
      </c>
      <c r="H20" s="9">
        <f t="shared" si="2"/>
        <v>0.4839506172839506</v>
      </c>
      <c r="I20" s="9">
        <f t="shared" si="3"/>
        <v>2.226922466874271</v>
      </c>
      <c r="J20" s="9">
        <f t="shared" si="43"/>
        <v>1.6935917358182095</v>
      </c>
      <c r="K20" s="150">
        <f>'INPUT AND RESULTS'!L20</f>
        <v>0</v>
      </c>
      <c r="L20" s="43">
        <f>'INPUT AND RESULTS'!M20</f>
        <v>200</v>
      </c>
      <c r="M20" s="151">
        <f>'INPUT AND RESULTS'!N20</f>
        <v>0</v>
      </c>
      <c r="N20" s="151">
        <f>'INPUT AND RESULTS'!O20</f>
        <v>1</v>
      </c>
      <c r="O20" s="150">
        <f>'INPUT AND RESULTS'!P20</f>
        <v>0</v>
      </c>
      <c r="P20" s="150">
        <f>'INPUT AND RESULTS'!Q20</f>
        <v>105</v>
      </c>
      <c r="Q20" s="150">
        <f>'INPUT AND RESULTS'!R20</f>
        <v>105</v>
      </c>
      <c r="R20" s="150">
        <f>'INPUT AND RESULTS'!S20</f>
        <v>30</v>
      </c>
      <c r="S20" s="150">
        <f>'INPUT AND RESULTS'!T20</f>
        <v>0</v>
      </c>
      <c r="T20" s="150">
        <f>'INPUT AND RESULTS'!U20</f>
        <v>105</v>
      </c>
      <c r="U20" s="150">
        <f>'INPUT AND RESULTS'!V20</f>
        <v>30</v>
      </c>
      <c r="V20" s="150">
        <f>'INPUT AND RESULTS'!W20</f>
        <v>0</v>
      </c>
      <c r="W20" s="150">
        <f>'INPUT AND RESULTS'!X20</f>
        <v>30</v>
      </c>
      <c r="X20" s="150">
        <f>'INPUT AND RESULTS'!Y20</f>
        <v>90</v>
      </c>
      <c r="Y20" s="150" t="str">
        <f>'INPUT AND RESULTS'!Z20</f>
        <v>I</v>
      </c>
      <c r="Z20" s="150">
        <f>'INPUT AND RESULTS'!AA20</f>
        <v>250</v>
      </c>
      <c r="AA20" s="150">
        <f>'INPUT AND RESULTS'!AB20</f>
        <v>250</v>
      </c>
      <c r="AB20" s="47" t="s">
        <v>61</v>
      </c>
      <c r="AC20" s="49">
        <f t="shared" si="4"/>
        <v>0.5</v>
      </c>
      <c r="AD20" s="272"/>
      <c r="AE20" s="272"/>
      <c r="AG20" s="24">
        <f t="shared" si="5"/>
        <v>4571.243144424132</v>
      </c>
      <c r="AH20" s="26">
        <f>V20*BG20*'Load and Resistance Factors'!$E$11+0.5*(F20-2*BD20)*T20*BI20*'Load and Resistance Factors'!$E$11*AC20+T20*E20*BH20*'Load and Resistance Factors'!$E$11</f>
        <v>7741.819611812356</v>
      </c>
      <c r="AI20" s="24">
        <v>0</v>
      </c>
      <c r="AJ20" s="21" t="str">
        <f t="shared" si="6"/>
        <v>---</v>
      </c>
      <c r="AK20" s="24">
        <f>(P20*C20*F20*'Load and Resistance Factors'!$B$8)</f>
        <v>79380</v>
      </c>
      <c r="AL20" s="24" t="str">
        <f>IF(K20=0,"---",IF(L20&gt;=F20,(0.5*P20*(AJ20-C20)*F20*'Load and Resistance Factors'!$B$8),(0.5*P20*(L20*(TAN(RADIANS(K20)))*L20*'Load and Resistance Factors'!$B$8))))</f>
        <v>---</v>
      </c>
      <c r="AM20" s="24" t="str">
        <f>IF(K20=0,"---",IF(L20&gt;=F20,"---",(P20*(L20*(TAN(RADIANS(K20))))*(F20-L20)*'Load and Resistance Factors'!$B$8)))</f>
        <v>---</v>
      </c>
      <c r="AN20" s="24">
        <v>0</v>
      </c>
      <c r="AO20" s="21">
        <f t="shared" si="7"/>
        <v>0</v>
      </c>
      <c r="AP20" s="24">
        <f t="shared" si="8"/>
        <v>13720</v>
      </c>
      <c r="AQ20" s="24" t="str">
        <f>IF(K20=0,"---",IF(L20&gt;=F20,AP20*M20*'Load and Resistance Factors'!$C$8,AP20*CB20*'Load and Resistance Factors'!$C$8))</f>
        <v>---</v>
      </c>
      <c r="AR20" s="24" t="str">
        <f>IF(K20=0,"---",IF(L20&gt;=F20,AP20*N20*'Load and Resistance Factors'!$C$8,AP20*BZ20*'Load and Resistance Factors'!$C$8))</f>
        <v>---</v>
      </c>
      <c r="AS20" s="24">
        <v>0</v>
      </c>
      <c r="AT20" s="24" t="str">
        <f>IF(K20=0,"---",IF(L20&gt;=F20,AS20*M20*'Load and Resistance Factors'!$E$6,AS20*CB20*'Load and Resistance Factors'!$E$6))</f>
        <v>---</v>
      </c>
      <c r="AU20" s="24" t="str">
        <f>IF(K20=0,"---",IF(L20&gt;=F20,AS20*N20*'Load and Resistance Factors'!$E$6,AS20*BZ20*'Load and Resistance Factors'!$E$6))</f>
        <v>---</v>
      </c>
      <c r="AV20" s="24">
        <f>IF(K20=0,(AP20*'Load and Resistance Factors'!$C$8+AS20*'Load and Resistance Factors'!$E$8),AR20+AU20)</f>
        <v>20580</v>
      </c>
      <c r="AW20" s="24">
        <f>IF(K20=0,'Load and Resistance Factors'!$E$10*(SUM(AK20:AM20)*(TAN(RADIANS(W20)))),'Load and Resistance Factors'!$E$10*((SUM(AK20:AM20)+AQ20)*(TAN(RADIANS(W20)))))</f>
        <v>45830.06436827249</v>
      </c>
      <c r="AX20" s="24">
        <f t="shared" si="9"/>
        <v>79380</v>
      </c>
      <c r="AY20" s="24">
        <f t="shared" si="10"/>
        <v>79380</v>
      </c>
      <c r="AZ20" s="24">
        <f t="shared" si="11"/>
        <v>793800</v>
      </c>
      <c r="BA20" s="24">
        <f>IF(K20=0,AZ20+(Z20*F20*(F20/2)*'Load and Resistance Factors'!$D$7),IF(L20&gt;=F20,AZ20+(AN20*(F20/2)),AZ20+(AN20*(L20+((F20-L20)/2)))))</f>
        <v>881300</v>
      </c>
      <c r="BB20" s="24">
        <f>IF(K20=0,(AP20*'Load and Resistance Factors'!$C$8*(C20/3))+(AS20*'Load and Resistance Factors'!$E$8*(C20/2)),IF(L20&gt;=F20,(AR20*(AJ20/3))+(AU20*(AJ20/2)),(AR20*(AJ20/3))+(AU20*(AJ20/2))))</f>
        <v>192080</v>
      </c>
      <c r="BC20" s="21">
        <f t="shared" si="12"/>
        <v>2.419753086419753</v>
      </c>
      <c r="BD20" s="21">
        <f t="shared" si="13"/>
        <v>1.317460317460318</v>
      </c>
      <c r="BE20" s="21">
        <f t="shared" si="14"/>
        <v>17.365079365079364</v>
      </c>
      <c r="BF20" s="21">
        <f t="shared" si="15"/>
        <v>5</v>
      </c>
      <c r="BG20" s="21">
        <f t="shared" si="16"/>
        <v>30.139627791519086</v>
      </c>
      <c r="BH20" s="21">
        <f t="shared" si="17"/>
        <v>18.401122218708668</v>
      </c>
      <c r="BI20" s="21">
        <f t="shared" si="18"/>
        <v>22.402486271104557</v>
      </c>
      <c r="BJ20" s="22">
        <f t="shared" si="19"/>
        <v>0</v>
      </c>
      <c r="BK20" s="23">
        <f t="shared" si="20"/>
        <v>0.3333333333333333</v>
      </c>
      <c r="BL20" s="4" t="str">
        <f t="shared" si="21"/>
        <v> ---</v>
      </c>
      <c r="BM20" s="25" t="str">
        <f t="shared" si="22"/>
        <v>  --</v>
      </c>
      <c r="BN20" s="21" t="str">
        <f t="shared" si="23"/>
        <v> ---</v>
      </c>
      <c r="BO20" s="27" t="str">
        <f t="shared" si="24"/>
        <v>---</v>
      </c>
      <c r="BP20" s="235">
        <f t="shared" si="25"/>
        <v>0.017453292519943295</v>
      </c>
      <c r="BQ20" s="235">
        <f t="shared" si="26"/>
        <v>0.5773502691896257</v>
      </c>
      <c r="BR20" s="235">
        <f t="shared" si="27"/>
        <v>0</v>
      </c>
      <c r="BS20" s="204" t="s">
        <v>1</v>
      </c>
      <c r="BT20" s="193">
        <f t="shared" si="45"/>
        <v>8</v>
      </c>
      <c r="BU20" s="243">
        <f t="shared" si="44"/>
        <v>0</v>
      </c>
      <c r="BV20" s="243">
        <f t="shared" si="28"/>
        <v>0</v>
      </c>
      <c r="BW20" s="244">
        <f t="shared" si="29"/>
        <v>1</v>
      </c>
      <c r="BX20" s="244">
        <f t="shared" si="30"/>
        <v>1</v>
      </c>
      <c r="BY20" s="245">
        <f t="shared" si="31"/>
        <v>0.7500000000000001</v>
      </c>
      <c r="BZ20" s="244">
        <f t="shared" si="32"/>
        <v>1</v>
      </c>
      <c r="CA20" s="244">
        <f t="shared" si="33"/>
        <v>1</v>
      </c>
      <c r="CB20" s="244">
        <f t="shared" si="34"/>
        <v>0</v>
      </c>
      <c r="CC20" s="162">
        <f t="shared" si="35"/>
        <v>0.4999999999999999</v>
      </c>
      <c r="CD20" s="162">
        <f t="shared" si="36"/>
        <v>0.5000000000000001</v>
      </c>
      <c r="CE20" s="162">
        <f t="shared" si="37"/>
        <v>1.5</v>
      </c>
      <c r="CF20" s="246">
        <f t="shared" si="38"/>
        <v>0.3333333333333334</v>
      </c>
      <c r="CG20" s="162">
        <f t="shared" si="39"/>
        <v>0.4999999999999999</v>
      </c>
      <c r="CH20" s="162">
        <f t="shared" si="40"/>
        <v>0.5000000000000001</v>
      </c>
      <c r="CI20" s="162">
        <f t="shared" si="41"/>
        <v>1.5</v>
      </c>
      <c r="CJ20" s="246">
        <f t="shared" si="42"/>
        <v>0.3333333333333334</v>
      </c>
    </row>
    <row r="21" spans="1:88" ht="18">
      <c r="A21" s="45" t="s">
        <v>61</v>
      </c>
      <c r="B21" s="271">
        <v>11</v>
      </c>
      <c r="C21" s="10">
        <f t="shared" si="0"/>
        <v>30</v>
      </c>
      <c r="D21" s="150">
        <f>'INPUT AND RESULTS'!D21</f>
        <v>28</v>
      </c>
      <c r="E21" s="150">
        <f>'INPUT AND RESULTS'!E21</f>
        <v>2</v>
      </c>
      <c r="F21" s="150">
        <f>'INPUT AND RESULTS'!F21</f>
        <v>21</v>
      </c>
      <c r="G21" s="9">
        <f t="shared" si="1"/>
        <v>3.969</v>
      </c>
      <c r="H21" s="9">
        <f t="shared" si="2"/>
        <v>0.5039052658100277</v>
      </c>
      <c r="I21" s="9">
        <f t="shared" si="3"/>
        <v>2.1823840175367852</v>
      </c>
      <c r="J21" s="9">
        <f t="shared" si="43"/>
        <v>1.581788384549187</v>
      </c>
      <c r="K21" s="150">
        <f>'INPUT AND RESULTS'!L21</f>
        <v>0</v>
      </c>
      <c r="L21" s="43">
        <f>'INPUT AND RESULTS'!M21</f>
        <v>200</v>
      </c>
      <c r="M21" s="151">
        <f>'INPUT AND RESULTS'!N21</f>
        <v>0</v>
      </c>
      <c r="N21" s="151">
        <f>'INPUT AND RESULTS'!O21</f>
        <v>1</v>
      </c>
      <c r="O21" s="150">
        <f>'INPUT AND RESULTS'!P21</f>
        <v>0</v>
      </c>
      <c r="P21" s="150">
        <f>'INPUT AND RESULTS'!Q21</f>
        <v>105</v>
      </c>
      <c r="Q21" s="150">
        <f>'INPUT AND RESULTS'!R21</f>
        <v>105</v>
      </c>
      <c r="R21" s="150">
        <f>'INPUT AND RESULTS'!S21</f>
        <v>30</v>
      </c>
      <c r="S21" s="150">
        <f>'INPUT AND RESULTS'!T21</f>
        <v>0</v>
      </c>
      <c r="T21" s="150">
        <f>'INPUT AND RESULTS'!U21</f>
        <v>105</v>
      </c>
      <c r="U21" s="150">
        <f>'INPUT AND RESULTS'!V21</f>
        <v>30</v>
      </c>
      <c r="V21" s="150">
        <f>'INPUT AND RESULTS'!W21</f>
        <v>0</v>
      </c>
      <c r="W21" s="150">
        <f>'INPUT AND RESULTS'!X21</f>
        <v>30</v>
      </c>
      <c r="X21" s="150">
        <f>'INPUT AND RESULTS'!Y21</f>
        <v>90</v>
      </c>
      <c r="Y21" s="150" t="str">
        <f>'INPUT AND RESULTS'!Z21</f>
        <v>I</v>
      </c>
      <c r="Z21" s="150">
        <f>'INPUT AND RESULTS'!AA21</f>
        <v>250</v>
      </c>
      <c r="AA21" s="150">
        <f>'INPUT AND RESULTS'!AB21</f>
        <v>250</v>
      </c>
      <c r="AB21" s="47" t="s">
        <v>61</v>
      </c>
      <c r="AC21" s="49">
        <f t="shared" si="4"/>
        <v>0.5</v>
      </c>
      <c r="AD21" s="272"/>
      <c r="AE21" s="272"/>
      <c r="AG21" s="24">
        <f t="shared" si="5"/>
        <v>4997.484948677457</v>
      </c>
      <c r="AH21" s="26">
        <f>V21*BG21*'Load and Resistance Factors'!$E$11+0.5*(F21-2*BD21)*T21*BI21*'Load and Resistance Factors'!$E$11*AC21+T21*E21*BH21*'Load and Resistance Factors'!$E$11</f>
        <v>7904.963643777392</v>
      </c>
      <c r="AI21" s="24">
        <v>0</v>
      </c>
      <c r="AJ21" s="21" t="str">
        <f t="shared" si="6"/>
        <v>---</v>
      </c>
      <c r="AK21" s="24">
        <f>(P21*C21*F21*'Load and Resistance Factors'!$B$8)</f>
        <v>89302.5</v>
      </c>
      <c r="AL21" s="24" t="str">
        <f>IF(K21=0,"---",IF(L21&gt;=F21,(0.5*P21*(AJ21-C21)*F21*'Load and Resistance Factors'!$B$8),(0.5*P21*(L21*(TAN(RADIANS(K21)))*L21*'Load and Resistance Factors'!$B$8))))</f>
        <v>---</v>
      </c>
      <c r="AM21" s="24" t="str">
        <f>IF(K21=0,"---",IF(L21&gt;=F21,"---",(P21*(L21*(TAN(RADIANS(K21))))*(F21-L21)*'Load and Resistance Factors'!$B$8)))</f>
        <v>---</v>
      </c>
      <c r="AN21" s="24">
        <v>0</v>
      </c>
      <c r="AO21" s="21">
        <f t="shared" si="7"/>
        <v>0</v>
      </c>
      <c r="AP21" s="24">
        <f t="shared" si="8"/>
        <v>15750</v>
      </c>
      <c r="AQ21" s="24" t="str">
        <f>IF(K21=0,"---",IF(L21&gt;=F21,AP21*M21*'Load and Resistance Factors'!$C$8,AP21*CB21*'Load and Resistance Factors'!$C$8))</f>
        <v>---</v>
      </c>
      <c r="AR21" s="24" t="str">
        <f>IF(K21=0,"---",IF(L21&gt;=F21,AP21*N21*'Load and Resistance Factors'!$C$8,AP21*BZ21*'Load and Resistance Factors'!$C$8))</f>
        <v>---</v>
      </c>
      <c r="AS21" s="24">
        <v>0</v>
      </c>
      <c r="AT21" s="24" t="str">
        <f>IF(K21=0,"---",IF(L21&gt;=F21,AS21*M21*'Load and Resistance Factors'!$E$6,AS21*CB21*'Load and Resistance Factors'!$E$6))</f>
        <v>---</v>
      </c>
      <c r="AU21" s="24" t="str">
        <f>IF(K21=0,"---",IF(L21&gt;=F21,AS21*N21*'Load and Resistance Factors'!$E$6,AS21*BZ21*'Load and Resistance Factors'!$E$6))</f>
        <v>---</v>
      </c>
      <c r="AV21" s="24">
        <f>IF(K21=0,(AP21*'Load and Resistance Factors'!$C$8+AS21*'Load and Resistance Factors'!$E$8),AR21+AU21)</f>
        <v>23625</v>
      </c>
      <c r="AW21" s="24">
        <f>IF(K21=0,'Load and Resistance Factors'!$E$10*(SUM(AK21:AM21)*(TAN(RADIANS(W21)))),'Load and Resistance Factors'!$E$10*((SUM(AK21:AM21)+AQ21)*(TAN(RADIANS(W21)))))</f>
        <v>51558.82241430655</v>
      </c>
      <c r="AX21" s="24">
        <f t="shared" si="9"/>
        <v>89302.5</v>
      </c>
      <c r="AY21" s="24">
        <f t="shared" si="10"/>
        <v>89302.5</v>
      </c>
      <c r="AZ21" s="24">
        <f t="shared" si="11"/>
        <v>937676.25</v>
      </c>
      <c r="BA21" s="24">
        <f>IF(K21=0,AZ21+(Z21*F21*(F21/2)*'Load and Resistance Factors'!$D$7),IF(L21&gt;=F21,AZ21+(AN21*(F21/2)),AZ21+(AN21*(L21+((F21-L21)/2)))))</f>
        <v>1034145</v>
      </c>
      <c r="BB21" s="24">
        <f>IF(K21=0,(AP21*'Load and Resistance Factors'!$C$8*(C21/3))+(AS21*'Load and Resistance Factors'!$E$8*(C21/2)),IF(L21&gt;=F21,(AR21*(AJ21/3))+(AU21*(AJ21/2)),(AR21*(AJ21/3))+(AU21*(AJ21/2))))</f>
        <v>236250</v>
      </c>
      <c r="BC21" s="21">
        <f t="shared" si="12"/>
        <v>2.6455026455026456</v>
      </c>
      <c r="BD21" s="21">
        <f t="shared" si="13"/>
        <v>1.5652557319223988</v>
      </c>
      <c r="BE21" s="21">
        <f t="shared" si="14"/>
        <v>17.869488536155202</v>
      </c>
      <c r="BF21" s="21">
        <f t="shared" si="15"/>
        <v>5.25</v>
      </c>
      <c r="BG21" s="21">
        <f t="shared" si="16"/>
        <v>30.139627791519086</v>
      </c>
      <c r="BH21" s="21">
        <f t="shared" si="17"/>
        <v>18.401122218708668</v>
      </c>
      <c r="BI21" s="21">
        <f t="shared" si="18"/>
        <v>22.402486271104557</v>
      </c>
      <c r="BJ21" s="22">
        <f t="shared" si="19"/>
        <v>0</v>
      </c>
      <c r="BK21" s="23">
        <f t="shared" si="20"/>
        <v>0.3333333333333333</v>
      </c>
      <c r="BL21" s="1" t="str">
        <f t="shared" si="21"/>
        <v> ---</v>
      </c>
      <c r="BM21" s="25" t="str">
        <f t="shared" si="22"/>
        <v>  --</v>
      </c>
      <c r="BN21" s="21" t="str">
        <f t="shared" si="23"/>
        <v> ---</v>
      </c>
      <c r="BO21" s="27" t="str">
        <f t="shared" si="24"/>
        <v>---</v>
      </c>
      <c r="BP21" s="192">
        <f t="shared" si="25"/>
        <v>0.017453292519943295</v>
      </c>
      <c r="BQ21" s="192">
        <f t="shared" si="26"/>
        <v>0.5773502691896257</v>
      </c>
      <c r="BR21" s="192">
        <f t="shared" si="27"/>
        <v>0</v>
      </c>
      <c r="BS21" s="3" t="s">
        <v>1</v>
      </c>
      <c r="BT21" s="193">
        <f t="shared" si="45"/>
        <v>9</v>
      </c>
      <c r="BU21" s="243">
        <f t="shared" si="44"/>
        <v>0</v>
      </c>
      <c r="BV21" s="243">
        <f t="shared" si="28"/>
        <v>0</v>
      </c>
      <c r="BW21" s="244">
        <f t="shared" si="29"/>
        <v>1</v>
      </c>
      <c r="BX21" s="244">
        <f t="shared" si="30"/>
        <v>1</v>
      </c>
      <c r="BY21" s="245">
        <f t="shared" si="31"/>
        <v>0.7500000000000001</v>
      </c>
      <c r="BZ21" s="244">
        <f t="shared" si="32"/>
        <v>1</v>
      </c>
      <c r="CA21" s="244">
        <f t="shared" si="33"/>
        <v>1</v>
      </c>
      <c r="CB21" s="244">
        <f t="shared" si="34"/>
        <v>0</v>
      </c>
      <c r="CC21" s="162">
        <f t="shared" si="35"/>
        <v>0.4999999999999999</v>
      </c>
      <c r="CD21" s="162">
        <f t="shared" si="36"/>
        <v>0.5000000000000001</v>
      </c>
      <c r="CE21" s="162">
        <f t="shared" si="37"/>
        <v>1.5</v>
      </c>
      <c r="CF21" s="246">
        <f t="shared" si="38"/>
        <v>0.3333333333333334</v>
      </c>
      <c r="CG21" s="162">
        <f t="shared" si="39"/>
        <v>0.4999999999999999</v>
      </c>
      <c r="CH21" s="162">
        <f t="shared" si="40"/>
        <v>0.5000000000000001</v>
      </c>
      <c r="CI21" s="162">
        <f t="shared" si="41"/>
        <v>1.5</v>
      </c>
      <c r="CJ21" s="246">
        <f t="shared" si="42"/>
        <v>0.3333333333333334</v>
      </c>
    </row>
    <row r="22" spans="1:88" ht="18">
      <c r="A22" s="45" t="s">
        <v>61</v>
      </c>
      <c r="B22" s="271">
        <v>12</v>
      </c>
      <c r="C22" s="10">
        <f t="shared" si="0"/>
        <v>32</v>
      </c>
      <c r="D22" s="150">
        <f>'INPUT AND RESULTS'!D22</f>
        <v>30</v>
      </c>
      <c r="E22" s="150">
        <f>'INPUT AND RESULTS'!E22</f>
        <v>2</v>
      </c>
      <c r="F22" s="150">
        <f>'INPUT AND RESULTS'!F22</f>
        <v>23</v>
      </c>
      <c r="G22" s="9">
        <f t="shared" si="1"/>
        <v>4.18447265625</v>
      </c>
      <c r="H22" s="9">
        <f t="shared" si="2"/>
        <v>0.4779574785875983</v>
      </c>
      <c r="I22" s="9">
        <f t="shared" si="3"/>
        <v>2.240840732292235</v>
      </c>
      <c r="J22" s="9">
        <f t="shared" si="43"/>
        <v>1.6075867769756331</v>
      </c>
      <c r="K22" s="150">
        <f>'INPUT AND RESULTS'!L22</f>
        <v>0</v>
      </c>
      <c r="L22" s="43">
        <f>'INPUT AND RESULTS'!M22</f>
        <v>200</v>
      </c>
      <c r="M22" s="151">
        <f>'INPUT AND RESULTS'!N22</f>
        <v>0</v>
      </c>
      <c r="N22" s="151">
        <f>'INPUT AND RESULTS'!O22</f>
        <v>1</v>
      </c>
      <c r="O22" s="150">
        <f>'INPUT AND RESULTS'!P22</f>
        <v>0</v>
      </c>
      <c r="P22" s="150">
        <f>'INPUT AND RESULTS'!Q22</f>
        <v>105</v>
      </c>
      <c r="Q22" s="150">
        <f>'INPUT AND RESULTS'!R22</f>
        <v>105</v>
      </c>
      <c r="R22" s="150">
        <f>'INPUT AND RESULTS'!S22</f>
        <v>30</v>
      </c>
      <c r="S22" s="150">
        <f>'INPUT AND RESULTS'!T22</f>
        <v>0</v>
      </c>
      <c r="T22" s="150">
        <f>'INPUT AND RESULTS'!U22</f>
        <v>105</v>
      </c>
      <c r="U22" s="150">
        <f>'INPUT AND RESULTS'!V22</f>
        <v>30</v>
      </c>
      <c r="V22" s="150">
        <f>'INPUT AND RESULTS'!W22</f>
        <v>0</v>
      </c>
      <c r="W22" s="150">
        <f>'INPUT AND RESULTS'!X22</f>
        <v>30</v>
      </c>
      <c r="X22" s="150">
        <f>'INPUT AND RESULTS'!Y22</f>
        <v>90</v>
      </c>
      <c r="Y22" s="150" t="str">
        <f>'INPUT AND RESULTS'!Z22</f>
        <v>I</v>
      </c>
      <c r="Z22" s="150">
        <f>'INPUT AND RESULTS'!AA22</f>
        <v>250</v>
      </c>
      <c r="AA22" s="150">
        <f>'INPUT AND RESULTS'!AB22</f>
        <v>250</v>
      </c>
      <c r="AB22" s="47" t="s">
        <v>61</v>
      </c>
      <c r="AC22" s="49">
        <f t="shared" si="4"/>
        <v>0.5</v>
      </c>
      <c r="AD22" s="272"/>
      <c r="AE22" s="272"/>
      <c r="AG22" s="24">
        <f t="shared" si="5"/>
        <v>5289.969404748337</v>
      </c>
      <c r="AH22" s="26">
        <f>V22*BG22*'Load and Resistance Factors'!$E$11+0.5*(F22-2*BD22)*T22*BI22*'Load and Resistance Factors'!$E$11*AC22+T22*E22*BH22*'Load and Resistance Factors'!$E$11</f>
        <v>8504.084865679088</v>
      </c>
      <c r="AI22" s="24">
        <v>0</v>
      </c>
      <c r="AJ22" s="21" t="str">
        <f t="shared" si="6"/>
        <v>---</v>
      </c>
      <c r="AK22" s="24">
        <f>(P22*C22*F22*'Load and Resistance Factors'!$B$8)</f>
        <v>104328</v>
      </c>
      <c r="AL22" s="24" t="str">
        <f>IF(K22=0,"---",IF(L22&gt;=F22,(0.5*P22*(AJ22-C22)*F22*'Load and Resistance Factors'!$B$8),(0.5*P22*(L22*(TAN(RADIANS(K22)))*L22*'Load and Resistance Factors'!$B$8))))</f>
        <v>---</v>
      </c>
      <c r="AM22" s="24" t="str">
        <f>IF(K22=0,"---",IF(L22&gt;=F22,"---",(P22*(L22*(TAN(RADIANS(K22))))*(F22-L22)*'Load and Resistance Factors'!$B$8)))</f>
        <v>---</v>
      </c>
      <c r="AN22" s="24">
        <v>0</v>
      </c>
      <c r="AO22" s="21">
        <f t="shared" si="7"/>
        <v>0</v>
      </c>
      <c r="AP22" s="24">
        <f t="shared" si="8"/>
        <v>17920</v>
      </c>
      <c r="AQ22" s="24" t="str">
        <f>IF(K22=0,"---",IF(L22&gt;=F22,AP22*M22*'Load and Resistance Factors'!$C$8,AP22*CB22*'Load and Resistance Factors'!$C$8))</f>
        <v>---</v>
      </c>
      <c r="AR22" s="24" t="str">
        <f>IF(K22=0,"---",IF(L22&gt;=F22,AP22*N22*'Load and Resistance Factors'!$C$8,AP22*BZ22*'Load and Resistance Factors'!$C$8))</f>
        <v>---</v>
      </c>
      <c r="AS22" s="24">
        <v>0</v>
      </c>
      <c r="AT22" s="24" t="str">
        <f>IF(K22=0,"---",IF(L22&gt;=F22,AS22*M22*'Load and Resistance Factors'!$E$6,AS22*CB22*'Load and Resistance Factors'!$E$6))</f>
        <v>---</v>
      </c>
      <c r="AU22" s="24" t="str">
        <f>IF(K22=0,"---",IF(L22&gt;=F22,AS22*N22*'Load and Resistance Factors'!$E$6,AS22*BZ22*'Load and Resistance Factors'!$E$6))</f>
        <v>---</v>
      </c>
      <c r="AV22" s="24">
        <f>IF(K22=0,(AP22*'Load and Resistance Factors'!$C$8+AS22*'Load and Resistance Factors'!$E$8),AR22+AU22)</f>
        <v>26880</v>
      </c>
      <c r="AW22" s="24">
        <f>IF(K22=0,'Load and Resistance Factors'!$E$10*(SUM(AK22:AM22)*(TAN(RADIANS(W22)))),'Load and Resistance Factors'!$E$10*((SUM(AK22:AM22)+AQ22)*(TAN(RADIANS(W22)))))</f>
        <v>60233.798884015276</v>
      </c>
      <c r="AX22" s="24">
        <f t="shared" si="9"/>
        <v>104328</v>
      </c>
      <c r="AY22" s="24">
        <f t="shared" si="10"/>
        <v>104328</v>
      </c>
      <c r="AZ22" s="24">
        <f t="shared" si="11"/>
        <v>1199772</v>
      </c>
      <c r="BA22" s="24">
        <f>IF(K22=0,AZ22+(Z22*F22*(F22/2)*'Load and Resistance Factors'!$D$7),IF(L22&gt;=F22,AZ22+(AN22*(F22/2)),AZ22+(AN22*(L22+((F22-L22)/2)))))</f>
        <v>1315490.75</v>
      </c>
      <c r="BB22" s="24">
        <f>IF(K22=0,(AP22*'Load and Resistance Factors'!$C$8*(C22/3))+(AS22*'Load and Resistance Factors'!$E$8*(C22/2)),IF(L22&gt;=F22,(AR22*(AJ22/3))+(AU22*(AJ22/2)),(AR22*(AJ22/3))+(AU22*(AJ22/2))))</f>
        <v>286720</v>
      </c>
      <c r="BC22" s="21">
        <f t="shared" si="12"/>
        <v>2.74825550187869</v>
      </c>
      <c r="BD22" s="21">
        <f t="shared" si="13"/>
        <v>1.639073403113258</v>
      </c>
      <c r="BE22" s="21">
        <f t="shared" si="14"/>
        <v>19.721853193773484</v>
      </c>
      <c r="BF22" s="21">
        <f t="shared" si="15"/>
        <v>5.75</v>
      </c>
      <c r="BG22" s="21">
        <f t="shared" si="16"/>
        <v>30.139627791519086</v>
      </c>
      <c r="BH22" s="21">
        <f t="shared" si="17"/>
        <v>18.401122218708668</v>
      </c>
      <c r="BI22" s="21">
        <f t="shared" si="18"/>
        <v>22.402486271104557</v>
      </c>
      <c r="BJ22" s="22">
        <f t="shared" si="19"/>
        <v>0</v>
      </c>
      <c r="BK22" s="23">
        <f t="shared" si="20"/>
        <v>0.3333333333333333</v>
      </c>
      <c r="BL22" s="4" t="str">
        <f t="shared" si="21"/>
        <v> ---</v>
      </c>
      <c r="BM22" s="25" t="str">
        <f t="shared" si="22"/>
        <v>  --</v>
      </c>
      <c r="BN22" s="21" t="str">
        <f t="shared" si="23"/>
        <v> ---</v>
      </c>
      <c r="BO22" s="27" t="str">
        <f t="shared" si="24"/>
        <v>---</v>
      </c>
      <c r="BP22" s="235">
        <f t="shared" si="25"/>
        <v>0.017453292519943295</v>
      </c>
      <c r="BQ22" s="235">
        <f t="shared" si="26"/>
        <v>0.5773502691896257</v>
      </c>
      <c r="BR22" s="235">
        <f t="shared" si="27"/>
        <v>0</v>
      </c>
      <c r="BS22" s="204" t="s">
        <v>1</v>
      </c>
      <c r="BT22" s="193">
        <f t="shared" si="45"/>
        <v>10</v>
      </c>
      <c r="BU22" s="243">
        <f t="shared" si="44"/>
        <v>0</v>
      </c>
      <c r="BV22" s="243">
        <f t="shared" si="28"/>
        <v>0</v>
      </c>
      <c r="BW22" s="244">
        <f t="shared" si="29"/>
        <v>1</v>
      </c>
      <c r="BX22" s="244">
        <f t="shared" si="30"/>
        <v>1</v>
      </c>
      <c r="BY22" s="245">
        <f t="shared" si="31"/>
        <v>0.7500000000000001</v>
      </c>
      <c r="BZ22" s="244">
        <f t="shared" si="32"/>
        <v>1</v>
      </c>
      <c r="CA22" s="244">
        <f t="shared" si="33"/>
        <v>1</v>
      </c>
      <c r="CB22" s="244">
        <f t="shared" si="34"/>
        <v>0</v>
      </c>
      <c r="CC22" s="162">
        <f t="shared" si="35"/>
        <v>0.4999999999999999</v>
      </c>
      <c r="CD22" s="162">
        <f t="shared" si="36"/>
        <v>0.5000000000000001</v>
      </c>
      <c r="CE22" s="162">
        <f t="shared" si="37"/>
        <v>1.5</v>
      </c>
      <c r="CF22" s="246">
        <f t="shared" si="38"/>
        <v>0.3333333333333334</v>
      </c>
      <c r="CG22" s="162">
        <f t="shared" si="39"/>
        <v>0.4999999999999999</v>
      </c>
      <c r="CH22" s="162">
        <f t="shared" si="40"/>
        <v>0.5000000000000001</v>
      </c>
      <c r="CI22" s="162">
        <f t="shared" si="41"/>
        <v>1.5</v>
      </c>
      <c r="CJ22" s="246">
        <f t="shared" si="42"/>
        <v>0.3333333333333334</v>
      </c>
    </row>
    <row r="23" spans="1:88" ht="18">
      <c r="A23" s="45" t="s">
        <v>61</v>
      </c>
      <c r="B23" s="271">
        <v>13</v>
      </c>
      <c r="C23" s="10">
        <f t="shared" si="0"/>
        <v>34</v>
      </c>
      <c r="D23" s="150">
        <f>'INPUT AND RESULTS'!D23</f>
        <v>32</v>
      </c>
      <c r="E23" s="150">
        <f>'INPUT AND RESULTS'!E23</f>
        <v>2</v>
      </c>
      <c r="F23" s="150">
        <f>'INPUT AND RESULTS'!F23</f>
        <v>24</v>
      </c>
      <c r="G23" s="9">
        <f t="shared" si="1"/>
        <v>4.035986159169551</v>
      </c>
      <c r="H23" s="9">
        <f t="shared" si="2"/>
        <v>0.49554183813443053</v>
      </c>
      <c r="I23" s="9">
        <f t="shared" si="3"/>
        <v>2.2007233790286915</v>
      </c>
      <c r="J23" s="9">
        <f t="shared" si="43"/>
        <v>1.5163671868336865</v>
      </c>
      <c r="K23" s="150">
        <f>'INPUT AND RESULTS'!L23</f>
        <v>0</v>
      </c>
      <c r="L23" s="43">
        <f>'INPUT AND RESULTS'!M23</f>
        <v>200</v>
      </c>
      <c r="M23" s="151">
        <f>'INPUT AND RESULTS'!N23</f>
        <v>0</v>
      </c>
      <c r="N23" s="151">
        <f>'INPUT AND RESULTS'!O23</f>
        <v>1</v>
      </c>
      <c r="O23" s="150">
        <f>'INPUT AND RESULTS'!P23</f>
        <v>0</v>
      </c>
      <c r="P23" s="150">
        <f>'INPUT AND RESULTS'!Q23</f>
        <v>105</v>
      </c>
      <c r="Q23" s="150">
        <f>'INPUT AND RESULTS'!R23</f>
        <v>105</v>
      </c>
      <c r="R23" s="150">
        <f>'INPUT AND RESULTS'!S23</f>
        <v>30</v>
      </c>
      <c r="S23" s="150">
        <f>'INPUT AND RESULTS'!T23</f>
        <v>0</v>
      </c>
      <c r="T23" s="150">
        <f>'INPUT AND RESULTS'!U23</f>
        <v>105</v>
      </c>
      <c r="U23" s="150">
        <f>'INPUT AND RESULTS'!V23</f>
        <v>30</v>
      </c>
      <c r="V23" s="150">
        <f>'INPUT AND RESULTS'!W23</f>
        <v>0</v>
      </c>
      <c r="W23" s="150">
        <f>'INPUT AND RESULTS'!X23</f>
        <v>30</v>
      </c>
      <c r="X23" s="150">
        <f>'INPUT AND RESULTS'!Y23</f>
        <v>90</v>
      </c>
      <c r="Y23" s="150" t="str">
        <f>'INPUT AND RESULTS'!Z23</f>
        <v>I</v>
      </c>
      <c r="Z23" s="150">
        <f>'INPUT AND RESULTS'!AA23</f>
        <v>250</v>
      </c>
      <c r="AA23" s="150">
        <f>'INPUT AND RESULTS'!AB23</f>
        <v>250</v>
      </c>
      <c r="AB23" s="47" t="s">
        <v>61</v>
      </c>
      <c r="AC23" s="49">
        <f t="shared" si="4"/>
        <v>0.5</v>
      </c>
      <c r="AD23" s="272"/>
      <c r="AE23" s="272"/>
      <c r="AG23" s="24">
        <f t="shared" si="5"/>
        <v>5717.040261309659</v>
      </c>
      <c r="AH23" s="26">
        <f>V23*BG23*'Load and Resistance Factors'!$E$11+0.5*(F23-2*BD23)*T23*BI23*'Load and Resistance Factors'!$E$11*AC23+T23*E23*BH23*'Load and Resistance Factors'!$E$11</f>
        <v>8669.132258057052</v>
      </c>
      <c r="AI23" s="24">
        <v>0</v>
      </c>
      <c r="AJ23" s="21" t="str">
        <f t="shared" si="6"/>
        <v>---</v>
      </c>
      <c r="AK23" s="24">
        <f>(P23*C23*F23*'Load and Resistance Factors'!$B$8)</f>
        <v>115668.00000000001</v>
      </c>
      <c r="AL23" s="24" t="str">
        <f>IF(K23=0,"---",IF(L23&gt;=F23,(0.5*P23*(AJ23-C23)*F23*'Load and Resistance Factors'!$B$8),(0.5*P23*(L23*(TAN(RADIANS(K23)))*L23*'Load and Resistance Factors'!$B$8))))</f>
        <v>---</v>
      </c>
      <c r="AM23" s="24" t="str">
        <f>IF(K23=0,"---",IF(L23&gt;=F23,"---",(P23*(L23*(TAN(RADIANS(K23))))*(F23-L23)*'Load and Resistance Factors'!$B$8)))</f>
        <v>---</v>
      </c>
      <c r="AN23" s="24">
        <v>0</v>
      </c>
      <c r="AO23" s="21">
        <f t="shared" si="7"/>
        <v>0</v>
      </c>
      <c r="AP23" s="24">
        <f t="shared" si="8"/>
        <v>20230</v>
      </c>
      <c r="AQ23" s="24" t="str">
        <f>IF(K23=0,"---",IF(L23&gt;=F23,AP23*M23*'Load and Resistance Factors'!$C$8,AP23*CB23*'Load and Resistance Factors'!$C$8))</f>
        <v>---</v>
      </c>
      <c r="AR23" s="24" t="str">
        <f>IF(K23=0,"---",IF(L23&gt;=F23,AP23*N23*'Load and Resistance Factors'!$C$8,AP23*BZ23*'Load and Resistance Factors'!$C$8))</f>
        <v>---</v>
      </c>
      <c r="AS23" s="24">
        <v>0</v>
      </c>
      <c r="AT23" s="24" t="str">
        <f>IF(K23=0,"---",IF(L23&gt;=F23,AS23*M23*'Load and Resistance Factors'!$E$6,AS23*CB23*'Load and Resistance Factors'!$E$6))</f>
        <v>---</v>
      </c>
      <c r="AU23" s="24" t="str">
        <f>IF(K23=0,"---",IF(L23&gt;=F23,AS23*N23*'Load and Resistance Factors'!$E$6,AS23*BZ23*'Load and Resistance Factors'!$E$6))</f>
        <v>---</v>
      </c>
      <c r="AV23" s="24">
        <f>IF(K23=0,(AP23*'Load and Resistance Factors'!$C$8+AS23*'Load and Resistance Factors'!$E$8),AR23+AU23)</f>
        <v>30345</v>
      </c>
      <c r="AW23" s="24">
        <f>IF(K23=0,'Load and Resistance Factors'!$E$10*(SUM(AK23:AM23)*(TAN(RADIANS(W23)))),'Load and Resistance Factors'!$E$10*((SUM(AK23:AM23)+AQ23)*(TAN(RADIANS(W23)))))</f>
        <v>66780.95093662564</v>
      </c>
      <c r="AX23" s="24">
        <f t="shared" si="9"/>
        <v>115668.00000000001</v>
      </c>
      <c r="AY23" s="24">
        <f t="shared" si="10"/>
        <v>115668.00000000001</v>
      </c>
      <c r="AZ23" s="24">
        <f t="shared" si="11"/>
        <v>1388016.0000000002</v>
      </c>
      <c r="BA23" s="24">
        <f>IF(K23=0,AZ23+(Z23*F23*(F23/2)*'Load and Resistance Factors'!$D$7),IF(L23&gt;=F23,AZ23+(AN23*(F23/2)),AZ23+(AN23*(L23+((F23-L23)/2)))))</f>
        <v>1514016.0000000002</v>
      </c>
      <c r="BB23" s="24">
        <f>IF(K23=0,(AP23*'Load and Resistance Factors'!$C$8*(C23/3))+(AS23*'Load and Resistance Factors'!$E$8*(C23/2)),IF(L23&gt;=F23,(AR23*(AJ23/3))+(AU23*(AJ23/2)),(AR23*(AJ23/3))+(AU23*(AJ23/2))))</f>
        <v>343910</v>
      </c>
      <c r="BC23" s="21">
        <f t="shared" si="12"/>
        <v>2.973251028806583</v>
      </c>
      <c r="BD23" s="21">
        <f t="shared" si="13"/>
        <v>1.8839264100702007</v>
      </c>
      <c r="BE23" s="21">
        <f t="shared" si="14"/>
        <v>20.2321471798596</v>
      </c>
      <c r="BF23" s="21">
        <f t="shared" si="15"/>
        <v>6</v>
      </c>
      <c r="BG23" s="21">
        <f t="shared" si="16"/>
        <v>30.139627791519086</v>
      </c>
      <c r="BH23" s="21">
        <f t="shared" si="17"/>
        <v>18.401122218708668</v>
      </c>
      <c r="BI23" s="21">
        <f t="shared" si="18"/>
        <v>22.402486271104557</v>
      </c>
      <c r="BJ23" s="22">
        <f t="shared" si="19"/>
        <v>0</v>
      </c>
      <c r="BK23" s="23">
        <f t="shared" si="20"/>
        <v>0.3333333333333333</v>
      </c>
      <c r="BL23" s="1" t="str">
        <f t="shared" si="21"/>
        <v> ---</v>
      </c>
      <c r="BM23" s="25" t="str">
        <f t="shared" si="22"/>
        <v>  --</v>
      </c>
      <c r="BN23" s="21" t="str">
        <f t="shared" si="23"/>
        <v> ---</v>
      </c>
      <c r="BO23" s="27" t="str">
        <f t="shared" si="24"/>
        <v>---</v>
      </c>
      <c r="BP23" s="192">
        <f t="shared" si="25"/>
        <v>0.017453292519943295</v>
      </c>
      <c r="BQ23" s="192">
        <f t="shared" si="26"/>
        <v>0.5773502691896257</v>
      </c>
      <c r="BR23" s="192">
        <f t="shared" si="27"/>
        <v>0</v>
      </c>
      <c r="BS23" s="3" t="s">
        <v>1</v>
      </c>
      <c r="BT23" s="193">
        <f t="shared" si="45"/>
        <v>11</v>
      </c>
      <c r="BU23" s="243">
        <f t="shared" si="44"/>
        <v>0</v>
      </c>
      <c r="BV23" s="243">
        <f t="shared" si="28"/>
        <v>0</v>
      </c>
      <c r="BW23" s="244">
        <f t="shared" si="29"/>
        <v>1</v>
      </c>
      <c r="BX23" s="244">
        <f t="shared" si="30"/>
        <v>1</v>
      </c>
      <c r="BY23" s="245">
        <f t="shared" si="31"/>
        <v>0.7500000000000001</v>
      </c>
      <c r="BZ23" s="244">
        <f t="shared" si="32"/>
        <v>1</v>
      </c>
      <c r="CA23" s="244">
        <f t="shared" si="33"/>
        <v>1</v>
      </c>
      <c r="CB23" s="244">
        <f t="shared" si="34"/>
        <v>0</v>
      </c>
      <c r="CC23" s="162">
        <f t="shared" si="35"/>
        <v>0.4999999999999999</v>
      </c>
      <c r="CD23" s="162">
        <f t="shared" si="36"/>
        <v>0.5000000000000001</v>
      </c>
      <c r="CE23" s="162">
        <f t="shared" si="37"/>
        <v>1.5</v>
      </c>
      <c r="CF23" s="246">
        <f t="shared" si="38"/>
        <v>0.3333333333333334</v>
      </c>
      <c r="CG23" s="162">
        <f t="shared" si="39"/>
        <v>0.4999999999999999</v>
      </c>
      <c r="CH23" s="162">
        <f t="shared" si="40"/>
        <v>0.5000000000000001</v>
      </c>
      <c r="CI23" s="162">
        <f t="shared" si="41"/>
        <v>1.5</v>
      </c>
      <c r="CJ23" s="246">
        <f t="shared" si="42"/>
        <v>0.3333333333333334</v>
      </c>
    </row>
    <row r="24" spans="1:88" ht="18">
      <c r="A24" s="45" t="s">
        <v>61</v>
      </c>
      <c r="B24" s="271">
        <v>14</v>
      </c>
      <c r="C24" s="10">
        <f t="shared" si="0"/>
        <v>36</v>
      </c>
      <c r="D24" s="150">
        <f>'INPUT AND RESULTS'!D24</f>
        <v>34</v>
      </c>
      <c r="E24" s="150">
        <f>'INPUT AND RESULTS'!E24</f>
        <v>2</v>
      </c>
      <c r="F24" s="150">
        <f>'INPUT AND RESULTS'!F24</f>
        <v>26</v>
      </c>
      <c r="G24" s="9">
        <f t="shared" si="1"/>
        <v>4.225</v>
      </c>
      <c r="H24" s="9">
        <f t="shared" si="2"/>
        <v>0.47337278106508873</v>
      </c>
      <c r="I24" s="9">
        <f t="shared" si="3"/>
        <v>2.25166604983954</v>
      </c>
      <c r="J24" s="9">
        <f t="shared" si="43"/>
        <v>1.5415715798708458</v>
      </c>
      <c r="K24" s="150">
        <f>'INPUT AND RESULTS'!L24</f>
        <v>0</v>
      </c>
      <c r="L24" s="43">
        <f>'INPUT AND RESULTS'!M24</f>
        <v>200</v>
      </c>
      <c r="M24" s="151">
        <f>'INPUT AND RESULTS'!N24</f>
        <v>0</v>
      </c>
      <c r="N24" s="151">
        <f>'INPUT AND RESULTS'!O24</f>
        <v>1</v>
      </c>
      <c r="O24" s="150">
        <f>'INPUT AND RESULTS'!P24</f>
        <v>0</v>
      </c>
      <c r="P24" s="150">
        <f>'INPUT AND RESULTS'!Q24</f>
        <v>105</v>
      </c>
      <c r="Q24" s="150">
        <f>'INPUT AND RESULTS'!R24</f>
        <v>105</v>
      </c>
      <c r="R24" s="150">
        <f>'INPUT AND RESULTS'!S24</f>
        <v>30</v>
      </c>
      <c r="S24" s="150">
        <f>'INPUT AND RESULTS'!T24</f>
        <v>0</v>
      </c>
      <c r="T24" s="150">
        <f>'INPUT AND RESULTS'!U24</f>
        <v>105</v>
      </c>
      <c r="U24" s="150">
        <f>'INPUT AND RESULTS'!V24</f>
        <v>30</v>
      </c>
      <c r="V24" s="150">
        <f>'INPUT AND RESULTS'!W24</f>
        <v>0</v>
      </c>
      <c r="W24" s="150">
        <f>'INPUT AND RESULTS'!X24</f>
        <v>30</v>
      </c>
      <c r="X24" s="150">
        <f>'INPUT AND RESULTS'!Y24</f>
        <v>90</v>
      </c>
      <c r="Y24" s="150" t="str">
        <f>'INPUT AND RESULTS'!Z24</f>
        <v>I</v>
      </c>
      <c r="Z24" s="150">
        <f>'INPUT AND RESULTS'!AA24</f>
        <v>250</v>
      </c>
      <c r="AA24" s="150">
        <f>'INPUT AND RESULTS'!AB24</f>
        <v>250</v>
      </c>
      <c r="AB24" s="47" t="s">
        <v>61</v>
      </c>
      <c r="AC24" s="49">
        <f t="shared" si="4"/>
        <v>0.5</v>
      </c>
      <c r="AD24" s="272"/>
      <c r="AE24" s="272"/>
      <c r="AG24" s="24">
        <f t="shared" si="5"/>
        <v>6010.264503577796</v>
      </c>
      <c r="AH24" s="26">
        <f>V24*BG24*'Load and Resistance Factors'!$E$11+0.5*(F24-2*BD24)*T24*BI24*'Load and Resistance Factors'!$E$11*AC24+T24*E24*BH24*'Load and Resistance Factors'!$E$11</f>
        <v>9265.252946222088</v>
      </c>
      <c r="AI24" s="24">
        <v>0</v>
      </c>
      <c r="AJ24" s="21" t="str">
        <f t="shared" si="6"/>
        <v>---</v>
      </c>
      <c r="AK24" s="24">
        <f>(P24*C24*F24*'Load and Resistance Factors'!$B$8)</f>
        <v>132678</v>
      </c>
      <c r="AL24" s="24" t="str">
        <f>IF(K24=0,"---",IF(L24&gt;=F24,(0.5*P24*(AJ24-C24)*F24*'Load and Resistance Factors'!$B$8),(0.5*P24*(L24*(TAN(RADIANS(K24)))*L24*'Load and Resistance Factors'!$B$8))))</f>
        <v>---</v>
      </c>
      <c r="AM24" s="24" t="str">
        <f>IF(K24=0,"---",IF(L24&gt;=F24,"---",(P24*(L24*(TAN(RADIANS(K24))))*(F24-L24)*'Load and Resistance Factors'!$B$8)))</f>
        <v>---</v>
      </c>
      <c r="AN24" s="24">
        <v>0</v>
      </c>
      <c r="AO24" s="21">
        <f t="shared" si="7"/>
        <v>0</v>
      </c>
      <c r="AP24" s="24">
        <f t="shared" si="8"/>
        <v>22680</v>
      </c>
      <c r="AQ24" s="24" t="str">
        <f>IF(K24=0,"---",IF(L24&gt;=F24,AP24*M24*'Load and Resistance Factors'!$C$8,AP24*CB24*'Load and Resistance Factors'!$C$8))</f>
        <v>---</v>
      </c>
      <c r="AR24" s="24" t="str">
        <f>IF(K24=0,"---",IF(L24&gt;=F24,AP24*N24*'Load and Resistance Factors'!$C$8,AP24*BZ24*'Load and Resistance Factors'!$C$8))</f>
        <v>---</v>
      </c>
      <c r="AS24" s="24">
        <v>0</v>
      </c>
      <c r="AT24" s="24" t="str">
        <f>IF(K24=0,"---",IF(L24&gt;=F24,AS24*M24*'Load and Resistance Factors'!$E$6,AS24*CB24*'Load and Resistance Factors'!$E$6))</f>
        <v>---</v>
      </c>
      <c r="AU24" s="24" t="str">
        <f>IF(K24=0,"---",IF(L24&gt;=F24,AS24*N24*'Load and Resistance Factors'!$E$6,AS24*BZ24*'Load and Resistance Factors'!$E$6))</f>
        <v>---</v>
      </c>
      <c r="AV24" s="24">
        <f>IF(K24=0,(AP24*'Load and Resistance Factors'!$C$8+AS24*'Load and Resistance Factors'!$E$8),AR24+AU24)</f>
        <v>34020</v>
      </c>
      <c r="AW24" s="24">
        <f>IF(K24=0,'Load and Resistance Factors'!$E$10*(SUM(AK24:AM24)*(TAN(RADIANS(W24)))),'Load and Resistance Factors'!$E$10*((SUM(AK24:AM24)+AQ24)*(TAN(RADIANS(W24)))))</f>
        <v>76601.67901554116</v>
      </c>
      <c r="AX24" s="24">
        <f t="shared" si="9"/>
        <v>132678</v>
      </c>
      <c r="AY24" s="24">
        <f t="shared" si="10"/>
        <v>132678</v>
      </c>
      <c r="AZ24" s="24">
        <f t="shared" si="11"/>
        <v>1724814</v>
      </c>
      <c r="BA24" s="24">
        <f>IF(K24=0,AZ24+(Z24*F24*(F24/2)*'Load and Resistance Factors'!$D$7),IF(L24&gt;=F24,AZ24+(AN24*(F24/2)),AZ24+(AN24*(L24+((F24-L24)/2)))))</f>
        <v>1872689</v>
      </c>
      <c r="BB24" s="24">
        <f>IF(K24=0,(AP24*'Load and Resistance Factors'!$C$8*(C24/3))+(AS24*'Load and Resistance Factors'!$E$8*(C24/2)),IF(L24&gt;=F24,(AR24*(AJ24/3))+(AU24*(AJ24/2)),(AR24*(AJ24/3))+(AU24*(AJ24/2))))</f>
        <v>408240</v>
      </c>
      <c r="BC24" s="21">
        <f t="shared" si="12"/>
        <v>3.0769230769230766</v>
      </c>
      <c r="BD24" s="21">
        <f t="shared" si="13"/>
        <v>1.9623826105307582</v>
      </c>
      <c r="BE24" s="21">
        <f t="shared" si="14"/>
        <v>22.075234778938484</v>
      </c>
      <c r="BF24" s="21">
        <f t="shared" si="15"/>
        <v>6.5</v>
      </c>
      <c r="BG24" s="21">
        <f t="shared" si="16"/>
        <v>30.139627791519086</v>
      </c>
      <c r="BH24" s="21">
        <f t="shared" si="17"/>
        <v>18.401122218708668</v>
      </c>
      <c r="BI24" s="21">
        <f t="shared" si="18"/>
        <v>22.402486271104557</v>
      </c>
      <c r="BJ24" s="22">
        <f t="shared" si="19"/>
        <v>0</v>
      </c>
      <c r="BK24" s="23">
        <f t="shared" si="20"/>
        <v>0.3333333333333333</v>
      </c>
      <c r="BL24" s="4" t="str">
        <f t="shared" si="21"/>
        <v> ---</v>
      </c>
      <c r="BM24" s="25" t="str">
        <f t="shared" si="22"/>
        <v>  --</v>
      </c>
      <c r="BN24" s="21" t="str">
        <f t="shared" si="23"/>
        <v> ---</v>
      </c>
      <c r="BO24" s="27" t="str">
        <f t="shared" si="24"/>
        <v>---</v>
      </c>
      <c r="BP24" s="235">
        <f t="shared" si="25"/>
        <v>0.017453292519943295</v>
      </c>
      <c r="BQ24" s="235">
        <f t="shared" si="26"/>
        <v>0.5773502691896257</v>
      </c>
      <c r="BR24" s="235">
        <f t="shared" si="27"/>
        <v>0</v>
      </c>
      <c r="BS24" s="204" t="s">
        <v>1</v>
      </c>
      <c r="BT24" s="193">
        <f t="shared" si="45"/>
        <v>12</v>
      </c>
      <c r="BU24" s="243">
        <f t="shared" si="44"/>
        <v>0</v>
      </c>
      <c r="BV24" s="243">
        <f t="shared" si="28"/>
        <v>0</v>
      </c>
      <c r="BW24" s="244">
        <f t="shared" si="29"/>
        <v>1</v>
      </c>
      <c r="BX24" s="244">
        <f t="shared" si="30"/>
        <v>1</v>
      </c>
      <c r="BY24" s="245">
        <f t="shared" si="31"/>
        <v>0.7500000000000001</v>
      </c>
      <c r="BZ24" s="244">
        <f t="shared" si="32"/>
        <v>1</v>
      </c>
      <c r="CA24" s="244">
        <f t="shared" si="33"/>
        <v>1</v>
      </c>
      <c r="CB24" s="244">
        <f t="shared" si="34"/>
        <v>0</v>
      </c>
      <c r="CC24" s="162">
        <f t="shared" si="35"/>
        <v>0.4999999999999999</v>
      </c>
      <c r="CD24" s="162">
        <f t="shared" si="36"/>
        <v>0.5000000000000001</v>
      </c>
      <c r="CE24" s="162">
        <f t="shared" si="37"/>
        <v>1.5</v>
      </c>
      <c r="CF24" s="246">
        <f t="shared" si="38"/>
        <v>0.3333333333333334</v>
      </c>
      <c r="CG24" s="162">
        <f t="shared" si="39"/>
        <v>0.4999999999999999</v>
      </c>
      <c r="CH24" s="162">
        <f t="shared" si="40"/>
        <v>0.5000000000000001</v>
      </c>
      <c r="CI24" s="162">
        <f t="shared" si="41"/>
        <v>1.5</v>
      </c>
      <c r="CJ24" s="246">
        <f t="shared" si="42"/>
        <v>0.3333333333333334</v>
      </c>
    </row>
    <row r="25" spans="1:88" ht="18">
      <c r="A25" s="45" t="s">
        <v>61</v>
      </c>
      <c r="B25" s="271">
        <v>15</v>
      </c>
      <c r="C25" s="10">
        <f t="shared" si="0"/>
        <v>38</v>
      </c>
      <c r="D25" s="150">
        <f>'INPUT AND RESULTS'!D25</f>
        <v>36</v>
      </c>
      <c r="E25" s="150">
        <f>'INPUT AND RESULTS'!E25</f>
        <v>2</v>
      </c>
      <c r="F25" s="150">
        <f>'INPUT AND RESULTS'!F25</f>
        <v>27</v>
      </c>
      <c r="G25" s="9">
        <f t="shared" si="1"/>
        <v>4.08926592797784</v>
      </c>
      <c r="H25" s="9">
        <f t="shared" si="2"/>
        <v>0.4890853359074667</v>
      </c>
      <c r="I25" s="9">
        <f t="shared" si="3"/>
        <v>2.2152018223117746</v>
      </c>
      <c r="J25" s="9">
        <f t="shared" si="43"/>
        <v>1.4650390313107091</v>
      </c>
      <c r="K25" s="150">
        <f>'INPUT AND RESULTS'!L25</f>
        <v>0</v>
      </c>
      <c r="L25" s="43">
        <f>'INPUT AND RESULTS'!M25</f>
        <v>200</v>
      </c>
      <c r="M25" s="151">
        <f>'INPUT AND RESULTS'!N25</f>
        <v>0</v>
      </c>
      <c r="N25" s="151">
        <f>'INPUT AND RESULTS'!O25</f>
        <v>1</v>
      </c>
      <c r="O25" s="150">
        <f>'INPUT AND RESULTS'!P25</f>
        <v>0</v>
      </c>
      <c r="P25" s="150">
        <f>'INPUT AND RESULTS'!Q25</f>
        <v>105</v>
      </c>
      <c r="Q25" s="150">
        <f>'INPUT AND RESULTS'!R25</f>
        <v>105</v>
      </c>
      <c r="R25" s="150">
        <f>'INPUT AND RESULTS'!S25</f>
        <v>30</v>
      </c>
      <c r="S25" s="150">
        <f>'INPUT AND RESULTS'!T25</f>
        <v>0</v>
      </c>
      <c r="T25" s="150">
        <f>'INPUT AND RESULTS'!U25</f>
        <v>105</v>
      </c>
      <c r="U25" s="150">
        <f>'INPUT AND RESULTS'!V25</f>
        <v>30</v>
      </c>
      <c r="V25" s="150">
        <f>'INPUT AND RESULTS'!W25</f>
        <v>0</v>
      </c>
      <c r="W25" s="150">
        <f>'INPUT AND RESULTS'!X25</f>
        <v>30</v>
      </c>
      <c r="X25" s="150">
        <f>'INPUT AND RESULTS'!Y25</f>
        <v>90</v>
      </c>
      <c r="Y25" s="150" t="str">
        <f>'INPUT AND RESULTS'!Z25</f>
        <v>I</v>
      </c>
      <c r="Z25" s="150">
        <f>'INPUT AND RESULTS'!AA25</f>
        <v>250</v>
      </c>
      <c r="AA25" s="150">
        <f>'INPUT AND RESULTS'!AB25</f>
        <v>250</v>
      </c>
      <c r="AB25" s="47" t="s">
        <v>61</v>
      </c>
      <c r="AC25" s="49">
        <f t="shared" si="4"/>
        <v>0.5</v>
      </c>
      <c r="AD25" s="272"/>
      <c r="AE25" s="272"/>
      <c r="AG25" s="24">
        <f t="shared" si="5"/>
        <v>6437.953641541031</v>
      </c>
      <c r="AH25" s="26">
        <f>V25*BG25*'Load and Resistance Factors'!$E$11+0.5*(F25-2*BD25)*T25*BI25*'Load and Resistance Factors'!$E$11*AC25+T25*E25*BH25*'Load and Resistance Factors'!$E$11</f>
        <v>9431.853366626525</v>
      </c>
      <c r="AI25" s="24">
        <v>0</v>
      </c>
      <c r="AJ25" s="21" t="str">
        <f t="shared" si="6"/>
        <v>---</v>
      </c>
      <c r="AK25" s="24">
        <f>(P25*C25*F25*'Load and Resistance Factors'!$B$8)</f>
        <v>145435.5</v>
      </c>
      <c r="AL25" s="24" t="str">
        <f>IF(K25=0,"---",IF(L25&gt;=F25,(0.5*P25*(AJ25-C25)*F25*'Load and Resistance Factors'!$B$8),(0.5*P25*(L25*(TAN(RADIANS(K25)))*L25*'Load and Resistance Factors'!$B$8))))</f>
        <v>---</v>
      </c>
      <c r="AM25" s="24" t="str">
        <f>IF(K25=0,"---",IF(L25&gt;=F25,"---",(P25*(L25*(TAN(RADIANS(K25))))*(F25-L25)*'Load and Resistance Factors'!$B$8)))</f>
        <v>---</v>
      </c>
      <c r="AN25" s="24">
        <v>0</v>
      </c>
      <c r="AO25" s="21">
        <f t="shared" si="7"/>
        <v>0</v>
      </c>
      <c r="AP25" s="24">
        <f t="shared" si="8"/>
        <v>25270</v>
      </c>
      <c r="AQ25" s="24" t="str">
        <f>IF(K25=0,"---",IF(L25&gt;=F25,AP25*M25*'Load and Resistance Factors'!$C$8,AP25*CB25*'Load and Resistance Factors'!$C$8))</f>
        <v>---</v>
      </c>
      <c r="AR25" s="24" t="str">
        <f>IF(K25=0,"---",IF(L25&gt;=F25,AP25*N25*'Load and Resistance Factors'!$C$8,AP25*BZ25*'Load and Resistance Factors'!$C$8))</f>
        <v>---</v>
      </c>
      <c r="AS25" s="24">
        <v>0</v>
      </c>
      <c r="AT25" s="24" t="str">
        <f>IF(K25=0,"---",IF(L25&gt;=F25,AS25*M25*'Load and Resistance Factors'!$E$6,AS25*CB25*'Load and Resistance Factors'!$E$6))</f>
        <v>---</v>
      </c>
      <c r="AU25" s="24" t="str">
        <f>IF(K25=0,"---",IF(L25&gt;=F25,AS25*N25*'Load and Resistance Factors'!$E$6,AS25*BZ25*'Load and Resistance Factors'!$E$6))</f>
        <v>---</v>
      </c>
      <c r="AV25" s="24">
        <f>IF(K25=0,(AP25*'Load and Resistance Factors'!$C$8+AS25*'Load and Resistance Factors'!$E$8),AR25+AU25)</f>
        <v>37905</v>
      </c>
      <c r="AW25" s="24">
        <f>IF(K25=0,'Load and Resistance Factors'!$E$10*(SUM(AK25:AM25)*(TAN(RADIANS(W25)))),'Load and Resistance Factors'!$E$10*((SUM(AK25:AM25)+AQ25)*(TAN(RADIANS(W25)))))</f>
        <v>83967.22507472782</v>
      </c>
      <c r="AX25" s="24">
        <f t="shared" si="9"/>
        <v>145435.5</v>
      </c>
      <c r="AY25" s="24">
        <f t="shared" si="10"/>
        <v>145435.5</v>
      </c>
      <c r="AZ25" s="24">
        <f t="shared" si="11"/>
        <v>1963379.25</v>
      </c>
      <c r="BA25" s="24">
        <f>IF(K25=0,AZ25+(Z25*F25*(F25/2)*'Load and Resistance Factors'!$D$7),IF(L25&gt;=F25,AZ25+(AN25*(F25/2)),AZ25+(AN25*(L25+((F25-L25)/2)))))</f>
        <v>2122848</v>
      </c>
      <c r="BB25" s="24">
        <f>IF(K25=0,(AP25*'Load and Resistance Factors'!$C$8*(C25/3))+(AS25*'Load and Resistance Factors'!$E$8*(C25/2)),IF(L25&gt;=F25,(AR25*(AJ25/3))+(AU25*(AJ25/2)),(AR25*(AJ25/3))+(AU25*(AJ25/2))))</f>
        <v>480130</v>
      </c>
      <c r="BC25" s="21">
        <f t="shared" si="12"/>
        <v>3.3013260173754</v>
      </c>
      <c r="BD25" s="21">
        <f t="shared" si="13"/>
        <v>2.204834789305224</v>
      </c>
      <c r="BE25" s="21">
        <f t="shared" si="14"/>
        <v>22.590330421389552</v>
      </c>
      <c r="BF25" s="21">
        <f t="shared" si="15"/>
        <v>6.75</v>
      </c>
      <c r="BG25" s="21">
        <f t="shared" si="16"/>
        <v>30.139627791519086</v>
      </c>
      <c r="BH25" s="21">
        <f t="shared" si="17"/>
        <v>18.401122218708668</v>
      </c>
      <c r="BI25" s="21">
        <f t="shared" si="18"/>
        <v>22.402486271104557</v>
      </c>
      <c r="BJ25" s="22">
        <f t="shared" si="19"/>
        <v>0</v>
      </c>
      <c r="BK25" s="23">
        <f t="shared" si="20"/>
        <v>0.3333333333333333</v>
      </c>
      <c r="BL25" s="1" t="str">
        <f t="shared" si="21"/>
        <v> ---</v>
      </c>
      <c r="BM25" s="25" t="str">
        <f t="shared" si="22"/>
        <v>  --</v>
      </c>
      <c r="BN25" s="21" t="str">
        <f t="shared" si="23"/>
        <v> ---</v>
      </c>
      <c r="BO25" s="27" t="str">
        <f t="shared" si="24"/>
        <v>---</v>
      </c>
      <c r="BP25" s="192">
        <f t="shared" si="25"/>
        <v>0.017453292519943295</v>
      </c>
      <c r="BQ25" s="192">
        <f t="shared" si="26"/>
        <v>0.5773502691896257</v>
      </c>
      <c r="BR25" s="192">
        <f t="shared" si="27"/>
        <v>0</v>
      </c>
      <c r="BS25" s="3" t="s">
        <v>1</v>
      </c>
      <c r="BT25" s="193">
        <f t="shared" si="45"/>
        <v>13</v>
      </c>
      <c r="BU25" s="243">
        <f t="shared" si="44"/>
        <v>0</v>
      </c>
      <c r="BV25" s="243">
        <f t="shared" si="28"/>
        <v>0</v>
      </c>
      <c r="BW25" s="244">
        <f t="shared" si="29"/>
        <v>1</v>
      </c>
      <c r="BX25" s="244">
        <f t="shared" si="30"/>
        <v>1</v>
      </c>
      <c r="BY25" s="245">
        <f t="shared" si="31"/>
        <v>0.7500000000000001</v>
      </c>
      <c r="BZ25" s="244">
        <f t="shared" si="32"/>
        <v>1</v>
      </c>
      <c r="CA25" s="244">
        <f t="shared" si="33"/>
        <v>1</v>
      </c>
      <c r="CB25" s="244">
        <f t="shared" si="34"/>
        <v>0</v>
      </c>
      <c r="CC25" s="162">
        <f t="shared" si="35"/>
        <v>0.4999999999999999</v>
      </c>
      <c r="CD25" s="162">
        <f t="shared" si="36"/>
        <v>0.5000000000000001</v>
      </c>
      <c r="CE25" s="162">
        <f t="shared" si="37"/>
        <v>1.5</v>
      </c>
      <c r="CF25" s="246">
        <f t="shared" si="38"/>
        <v>0.3333333333333334</v>
      </c>
      <c r="CG25" s="162">
        <f t="shared" si="39"/>
        <v>0.4999999999999999</v>
      </c>
      <c r="CH25" s="162">
        <f t="shared" si="40"/>
        <v>0.5000000000000001</v>
      </c>
      <c r="CI25" s="162">
        <f t="shared" si="41"/>
        <v>1.5</v>
      </c>
      <c r="CJ25" s="246">
        <f t="shared" si="42"/>
        <v>0.3333333333333334</v>
      </c>
    </row>
    <row r="26" spans="1:88" ht="18">
      <c r="A26" s="45" t="s">
        <v>61</v>
      </c>
      <c r="B26" s="271">
        <v>16</v>
      </c>
      <c r="C26" s="10">
        <f t="shared" si="0"/>
        <v>40</v>
      </c>
      <c r="D26" s="150">
        <f>'INPUT AND RESULTS'!D26</f>
        <v>38</v>
      </c>
      <c r="E26" s="150">
        <f>'INPUT AND RESULTS'!E26</f>
        <v>2</v>
      </c>
      <c r="F26" s="150">
        <f>'INPUT AND RESULTS'!F26</f>
        <v>28</v>
      </c>
      <c r="G26" s="9">
        <f t="shared" si="1"/>
        <v>3.969</v>
      </c>
      <c r="H26" s="9">
        <f t="shared" si="2"/>
        <v>0.5039052658100278</v>
      </c>
      <c r="I26" s="9">
        <f t="shared" si="3"/>
        <v>2.1823840175367852</v>
      </c>
      <c r="J26" s="9">
        <f t="shared" si="43"/>
        <v>1.3969708444949975</v>
      </c>
      <c r="K26" s="150">
        <f>'INPUT AND RESULTS'!L26</f>
        <v>0</v>
      </c>
      <c r="L26" s="43">
        <f>'INPUT AND RESULTS'!M26</f>
        <v>200</v>
      </c>
      <c r="M26" s="151">
        <f>'INPUT AND RESULTS'!N26</f>
        <v>0</v>
      </c>
      <c r="N26" s="151">
        <f>'INPUT AND RESULTS'!O26</f>
        <v>1</v>
      </c>
      <c r="O26" s="150">
        <f>'INPUT AND RESULTS'!P26</f>
        <v>0</v>
      </c>
      <c r="P26" s="150">
        <f>'INPUT AND RESULTS'!Q26</f>
        <v>105</v>
      </c>
      <c r="Q26" s="150">
        <f>'INPUT AND RESULTS'!R26</f>
        <v>105</v>
      </c>
      <c r="R26" s="150">
        <f>'INPUT AND RESULTS'!S26</f>
        <v>30</v>
      </c>
      <c r="S26" s="150">
        <f>'INPUT AND RESULTS'!T26</f>
        <v>0</v>
      </c>
      <c r="T26" s="150">
        <f>'INPUT AND RESULTS'!U26</f>
        <v>105</v>
      </c>
      <c r="U26" s="150">
        <f>'INPUT AND RESULTS'!V26</f>
        <v>30</v>
      </c>
      <c r="V26" s="150">
        <f>'INPUT AND RESULTS'!W26</f>
        <v>0</v>
      </c>
      <c r="W26" s="150">
        <f>'INPUT AND RESULTS'!X26</f>
        <v>30</v>
      </c>
      <c r="X26" s="150">
        <f>'INPUT AND RESULTS'!Y26</f>
        <v>90</v>
      </c>
      <c r="Y26" s="150" t="str">
        <f>'INPUT AND RESULTS'!Z26</f>
        <v>I</v>
      </c>
      <c r="Z26" s="150">
        <f>'INPUT AND RESULTS'!AA26</f>
        <v>250</v>
      </c>
      <c r="AA26" s="150">
        <f>'INPUT AND RESULTS'!AB26</f>
        <v>250</v>
      </c>
      <c r="AB26" s="47" t="s">
        <v>61</v>
      </c>
      <c r="AC26" s="49">
        <f t="shared" si="4"/>
        <v>0.5</v>
      </c>
      <c r="AD26" s="272"/>
      <c r="AE26" s="272"/>
      <c r="AG26" s="24">
        <f t="shared" si="5"/>
        <v>6870.996107167392</v>
      </c>
      <c r="AH26" s="26">
        <f>V26*BG26*'Load and Resistance Factors'!$E$11+0.5*(F26-2*BD26)*T26*BI26*'Load and Resistance Factors'!$E$11*AC26+T26*E26*BH26*'Load and Resistance Factors'!$E$11</f>
        <v>9598.581234351474</v>
      </c>
      <c r="AI26" s="24">
        <v>0</v>
      </c>
      <c r="AJ26" s="21" t="str">
        <f t="shared" si="6"/>
        <v>---</v>
      </c>
      <c r="AK26" s="24">
        <f>(P26*C26*F26*'Load and Resistance Factors'!$B$8)</f>
        <v>158760</v>
      </c>
      <c r="AL26" s="24" t="str">
        <f>IF(K26=0,"---",IF(L26&gt;=F26,(0.5*P26*(AJ26-C26)*F26*'Load and Resistance Factors'!$B$8),(0.5*P26*(L26*(TAN(RADIANS(K26)))*L26*'Load and Resistance Factors'!$B$8))))</f>
        <v>---</v>
      </c>
      <c r="AM26" s="24" t="str">
        <f>IF(K26=0,"---",IF(L26&gt;=F26,"---",(P26*(L26*(TAN(RADIANS(K26))))*(F26-L26)*'Load and Resistance Factors'!$B$8)))</f>
        <v>---</v>
      </c>
      <c r="AN26" s="24">
        <v>0</v>
      </c>
      <c r="AO26" s="21">
        <f t="shared" si="7"/>
        <v>0</v>
      </c>
      <c r="AP26" s="24">
        <f t="shared" si="8"/>
        <v>28000</v>
      </c>
      <c r="AQ26" s="24" t="str">
        <f>IF(K26=0,"---",IF(L26&gt;=F26,AP26*M26*'Load and Resistance Factors'!$C$8,AP26*CB26*'Load and Resistance Factors'!$C$8))</f>
        <v>---</v>
      </c>
      <c r="AR26" s="24" t="str">
        <f>IF(K26=0,"---",IF(L26&gt;=F26,AP26*N26*'Load and Resistance Factors'!$C$8,AP26*BZ26*'Load and Resistance Factors'!$C$8))</f>
        <v>---</v>
      </c>
      <c r="AS26" s="24">
        <v>0</v>
      </c>
      <c r="AT26" s="24" t="str">
        <f>IF(K26=0,"---",IF(L26&gt;=F26,AS26*M26*'Load and Resistance Factors'!$E$6,AS26*CB26*'Load and Resistance Factors'!$E$6))</f>
        <v>---</v>
      </c>
      <c r="AU26" s="24" t="str">
        <f>IF(K26=0,"---",IF(L26&gt;=F26,AS26*N26*'Load and Resistance Factors'!$E$6,AS26*BZ26*'Load and Resistance Factors'!$E$6))</f>
        <v>---</v>
      </c>
      <c r="AV26" s="24">
        <f>IF(K26=0,(AP26*'Load and Resistance Factors'!$C$8+AS26*'Load and Resistance Factors'!$E$8),AR26+AU26)</f>
        <v>42000</v>
      </c>
      <c r="AW26" s="24">
        <f>IF(K26=0,'Load and Resistance Factors'!$E$10*(SUM(AK26:AM26)*(TAN(RADIANS(W26)))),'Load and Resistance Factors'!$E$10*((SUM(AK26:AM26)+AQ26)*(TAN(RADIANS(W26)))))</f>
        <v>91660.12873654498</v>
      </c>
      <c r="AX26" s="24">
        <f t="shared" si="9"/>
        <v>158760</v>
      </c>
      <c r="AY26" s="24">
        <f t="shared" si="10"/>
        <v>158760</v>
      </c>
      <c r="AZ26" s="24">
        <f t="shared" si="11"/>
        <v>2222640</v>
      </c>
      <c r="BA26" s="24">
        <f>IF(K26=0,AZ26+(Z26*F26*(F26/2)*'Load and Resistance Factors'!$D$7),IF(L26&gt;=F26,AZ26+(AN26*(F26/2)),AZ26+(AN26*(L26+((F26-L26)/2)))))</f>
        <v>2394140</v>
      </c>
      <c r="BB26" s="24">
        <f>IF(K26=0,(AP26*'Load and Resistance Factors'!$C$8*(C26/3))+(AS26*'Load and Resistance Factors'!$E$8*(C26/2)),IF(L26&gt;=F26,(AR26*(AJ26/3))+(AU26*(AJ26/2)),(AR26*(AJ26/3))+(AU26*(AJ26/2))))</f>
        <v>560000</v>
      </c>
      <c r="BC26" s="21">
        <f t="shared" si="12"/>
        <v>3.5273368606701947</v>
      </c>
      <c r="BD26" s="21">
        <f t="shared" si="13"/>
        <v>2.447089947089948</v>
      </c>
      <c r="BE26" s="21">
        <f t="shared" si="14"/>
        <v>23.105820105820104</v>
      </c>
      <c r="BF26" s="21">
        <f t="shared" si="15"/>
        <v>7</v>
      </c>
      <c r="BG26" s="21">
        <f t="shared" si="16"/>
        <v>30.139627791519086</v>
      </c>
      <c r="BH26" s="21">
        <f t="shared" si="17"/>
        <v>18.401122218708668</v>
      </c>
      <c r="BI26" s="21">
        <f t="shared" si="18"/>
        <v>22.402486271104557</v>
      </c>
      <c r="BJ26" s="22">
        <f t="shared" si="19"/>
        <v>0</v>
      </c>
      <c r="BK26" s="23">
        <f t="shared" si="20"/>
        <v>0.3333333333333333</v>
      </c>
      <c r="BL26" s="4" t="str">
        <f t="shared" si="21"/>
        <v> ---</v>
      </c>
      <c r="BM26" s="25" t="str">
        <f t="shared" si="22"/>
        <v>  --</v>
      </c>
      <c r="BN26" s="21" t="str">
        <f t="shared" si="23"/>
        <v> ---</v>
      </c>
      <c r="BO26" s="27" t="str">
        <f>IF(K26=0,"---",IF(L26&gt;=2*C26,"---",CJ26))</f>
        <v>---</v>
      </c>
      <c r="BP26" s="235">
        <f t="shared" si="25"/>
        <v>0.017453292519943295</v>
      </c>
      <c r="BQ26" s="235">
        <f t="shared" si="26"/>
        <v>0.5773502691896257</v>
      </c>
      <c r="BR26" s="235">
        <f t="shared" si="27"/>
        <v>0</v>
      </c>
      <c r="BS26" s="204" t="s">
        <v>1</v>
      </c>
      <c r="BT26" s="193">
        <f t="shared" si="45"/>
        <v>14</v>
      </c>
      <c r="BU26" s="243">
        <f t="shared" si="44"/>
        <v>0</v>
      </c>
      <c r="BV26" s="243">
        <f t="shared" si="28"/>
        <v>0</v>
      </c>
      <c r="BW26" s="244">
        <f t="shared" si="29"/>
        <v>1</v>
      </c>
      <c r="BX26" s="244">
        <f t="shared" si="30"/>
        <v>1</v>
      </c>
      <c r="BY26" s="245">
        <f t="shared" si="31"/>
        <v>0.7500000000000001</v>
      </c>
      <c r="BZ26" s="244">
        <f t="shared" si="32"/>
        <v>1</v>
      </c>
      <c r="CA26" s="244">
        <f t="shared" si="33"/>
        <v>1</v>
      </c>
      <c r="CB26" s="244">
        <f t="shared" si="34"/>
        <v>0</v>
      </c>
      <c r="CC26" s="162">
        <f t="shared" si="35"/>
        <v>0.4999999999999999</v>
      </c>
      <c r="CD26" s="162">
        <f t="shared" si="36"/>
        <v>0.5000000000000001</v>
      </c>
      <c r="CE26" s="162">
        <f t="shared" si="37"/>
        <v>1.5</v>
      </c>
      <c r="CF26" s="246">
        <f t="shared" si="38"/>
        <v>0.3333333333333334</v>
      </c>
      <c r="CG26" s="162">
        <f t="shared" si="39"/>
        <v>0.4999999999999999</v>
      </c>
      <c r="CH26" s="162">
        <f t="shared" si="40"/>
        <v>0.5000000000000001</v>
      </c>
      <c r="CI26" s="162">
        <f t="shared" si="41"/>
        <v>1.5</v>
      </c>
      <c r="CJ26" s="246">
        <f t="shared" si="42"/>
        <v>0.3333333333333334</v>
      </c>
    </row>
    <row r="27" spans="1:88" ht="18">
      <c r="A27" s="45" t="s">
        <v>61</v>
      </c>
      <c r="B27" s="271">
        <v>18</v>
      </c>
      <c r="C27" s="10">
        <f t="shared" si="0"/>
        <v>42</v>
      </c>
      <c r="D27" s="150">
        <f>'INPUT AND RESULTS'!D27</f>
        <v>40</v>
      </c>
      <c r="E27" s="150">
        <f>'INPUT AND RESULTS'!E27</f>
        <v>2</v>
      </c>
      <c r="F27" s="150">
        <f>'INPUT AND RESULTS'!F27</f>
        <v>30</v>
      </c>
      <c r="G27" s="9">
        <f t="shared" si="1"/>
        <v>4.13265306122449</v>
      </c>
      <c r="H27" s="9">
        <f t="shared" si="2"/>
        <v>0.4839506172839506</v>
      </c>
      <c r="I27" s="9">
        <f t="shared" si="3"/>
        <v>2.226922466874271</v>
      </c>
      <c r="J27" s="9">
        <f t="shared" si="43"/>
        <v>1.423707455321672</v>
      </c>
      <c r="K27" s="150">
        <f>'INPUT AND RESULTS'!L27</f>
        <v>0</v>
      </c>
      <c r="L27" s="43">
        <f>'INPUT AND RESULTS'!M27</f>
        <v>200</v>
      </c>
      <c r="M27" s="151">
        <f>'INPUT AND RESULTS'!N27</f>
        <v>0</v>
      </c>
      <c r="N27" s="151">
        <f>'INPUT AND RESULTS'!O27</f>
        <v>1</v>
      </c>
      <c r="O27" s="150">
        <f>'INPUT AND RESULTS'!P27</f>
        <v>0</v>
      </c>
      <c r="P27" s="150">
        <f>'INPUT AND RESULTS'!Q27</f>
        <v>105</v>
      </c>
      <c r="Q27" s="150">
        <f>'INPUT AND RESULTS'!R27</f>
        <v>105</v>
      </c>
      <c r="R27" s="150">
        <f>'INPUT AND RESULTS'!S27</f>
        <v>30</v>
      </c>
      <c r="S27" s="150">
        <f>'INPUT AND RESULTS'!T27</f>
        <v>0</v>
      </c>
      <c r="T27" s="150">
        <f>'INPUT AND RESULTS'!U27</f>
        <v>105</v>
      </c>
      <c r="U27" s="150">
        <f>'INPUT AND RESULTS'!V27</f>
        <v>30</v>
      </c>
      <c r="V27" s="150">
        <f>'INPUT AND RESULTS'!W27</f>
        <v>0</v>
      </c>
      <c r="W27" s="150">
        <f>'INPUT AND RESULTS'!X27</f>
        <v>30</v>
      </c>
      <c r="X27" s="150">
        <f>'INPUT AND RESULTS'!Y27</f>
        <v>90</v>
      </c>
      <c r="Y27" s="150" t="str">
        <f>'INPUT AND RESULTS'!Z27</f>
        <v>I</v>
      </c>
      <c r="Z27" s="150">
        <f>'INPUT AND RESULTS'!AA27</f>
        <v>250</v>
      </c>
      <c r="AA27" s="150">
        <f>'INPUT AND RESULTS'!AB27</f>
        <v>250</v>
      </c>
      <c r="AB27" s="47" t="s">
        <v>61</v>
      </c>
      <c r="AC27" s="49">
        <f t="shared" si="4"/>
        <v>0.5</v>
      </c>
      <c r="AD27" s="272"/>
      <c r="AE27" s="272"/>
      <c r="AG27" s="24">
        <f t="shared" si="5"/>
        <v>7159.858243778281</v>
      </c>
      <c r="AH27" s="26">
        <f>V27*BG27*'Load and Resistance Factors'!$E$11+0.5*(F27-2*BD27)*T27*BI27*'Load and Resistance Factors'!$E$11*AC27+T27*E27*BH27*'Load and Resistance Factors'!$E$11</f>
        <v>10193.543560713471</v>
      </c>
      <c r="AI27" s="24">
        <v>0</v>
      </c>
      <c r="AJ27" s="21" t="str">
        <f t="shared" si="6"/>
        <v>---</v>
      </c>
      <c r="AK27" s="24">
        <f>(P27*C27*F27*'Load and Resistance Factors'!$B$8)</f>
        <v>178605</v>
      </c>
      <c r="AL27" s="24" t="str">
        <f>IF(K27=0,"---",IF(L27&gt;=F27,(0.5*P27*(AJ27-C27)*F27*'Load and Resistance Factors'!$B$8),(0.5*P27*(L27*(TAN(RADIANS(K27)))*L27*'Load and Resistance Factors'!$B$8))))</f>
        <v>---</v>
      </c>
      <c r="AM27" s="24" t="str">
        <f>IF(K27=0,"---",IF(L27&gt;=F27,"---",(P27*(L27*(TAN(RADIANS(K27))))*(F27-L27)*'Load and Resistance Factors'!$B$8)))</f>
        <v>---</v>
      </c>
      <c r="AN27" s="24">
        <v>0</v>
      </c>
      <c r="AO27" s="21">
        <f t="shared" si="7"/>
        <v>0</v>
      </c>
      <c r="AP27" s="24">
        <f t="shared" si="8"/>
        <v>30870</v>
      </c>
      <c r="AQ27" s="24" t="str">
        <f>IF(K27=0,"---",IF(L27&gt;=F27,AP27*M27*'Load and Resistance Factors'!$C$8,AP27*CB27*'Load and Resistance Factors'!$C$8))</f>
        <v>---</v>
      </c>
      <c r="AR27" s="24" t="str">
        <f>IF(K27=0,"---",IF(L27&gt;=F27,AP27*N27*'Load and Resistance Factors'!$C$8,AP27*BZ27*'Load and Resistance Factors'!$C$8))</f>
        <v>---</v>
      </c>
      <c r="AS27" s="24">
        <v>0</v>
      </c>
      <c r="AT27" s="24" t="str">
        <f>IF(K27=0,"---",IF(L27&gt;=F27,AS27*M27*'Load and Resistance Factors'!$E$6,AS27*CB27*'Load and Resistance Factors'!$E$6))</f>
        <v>---</v>
      </c>
      <c r="AU27" s="24" t="str">
        <f>IF(K27=0,"---",IF(L27&gt;=F27,AS27*N27*'Load and Resistance Factors'!$E$6,AS27*BZ27*'Load and Resistance Factors'!$E$6))</f>
        <v>---</v>
      </c>
      <c r="AV27" s="24">
        <f>IF(K27=0,(AP27*'Load and Resistance Factors'!$C$8+AS27*'Load and Resistance Factors'!$E$8),AR27+AU27)</f>
        <v>46305</v>
      </c>
      <c r="AW27" s="24">
        <f>IF(K27=0,'Load and Resistance Factors'!$E$10*(SUM(AK27:AM27)*(TAN(RADIANS(W27)))),'Load and Resistance Factors'!$E$10*((SUM(AK27:AM27)+AQ27)*(TAN(RADIANS(W27)))))</f>
        <v>103117.6448286131</v>
      </c>
      <c r="AX27" s="24">
        <f t="shared" si="9"/>
        <v>178605</v>
      </c>
      <c r="AY27" s="24">
        <f t="shared" si="10"/>
        <v>178605</v>
      </c>
      <c r="AZ27" s="24">
        <f t="shared" si="11"/>
        <v>2679075</v>
      </c>
      <c r="BA27" s="24">
        <f>IF(K27=0,AZ27+(Z27*F27*(F27/2)*'Load and Resistance Factors'!$D$7),IF(L27&gt;=F27,AZ27+(AN27*(F27/2)),AZ27+(AN27*(L27+((F27-L27)/2)))))</f>
        <v>2875950</v>
      </c>
      <c r="BB27" s="24">
        <f>IF(K27=0,(AP27*'Load and Resistance Factors'!$C$8*(C27/3))+(AS27*'Load and Resistance Factors'!$E$8*(C27/2)),IF(L27&gt;=F27,(AR27*(AJ27/3))+(AU27*(AJ27/2)),(AR27*(AJ27/3))+(AU27*(AJ27/2))))</f>
        <v>648270</v>
      </c>
      <c r="BC27" s="21">
        <f t="shared" si="12"/>
        <v>3.6296296296296298</v>
      </c>
      <c r="BD27" s="21">
        <f t="shared" si="13"/>
        <v>2.5273368606701947</v>
      </c>
      <c r="BE27" s="21">
        <f t="shared" si="14"/>
        <v>24.94532627865961</v>
      </c>
      <c r="BF27" s="21">
        <f t="shared" si="15"/>
        <v>7.5</v>
      </c>
      <c r="BG27" s="21">
        <f t="shared" si="16"/>
        <v>30.139627791519086</v>
      </c>
      <c r="BH27" s="21">
        <f t="shared" si="17"/>
        <v>18.401122218708668</v>
      </c>
      <c r="BI27" s="21">
        <f t="shared" si="18"/>
        <v>22.402486271104557</v>
      </c>
      <c r="BJ27" s="22">
        <f t="shared" si="19"/>
        <v>0</v>
      </c>
      <c r="BK27" s="23">
        <f t="shared" si="20"/>
        <v>0.3333333333333333</v>
      </c>
      <c r="BL27" s="4" t="str">
        <f t="shared" si="21"/>
        <v> ---</v>
      </c>
      <c r="BM27" s="25" t="str">
        <f t="shared" si="22"/>
        <v>  --</v>
      </c>
      <c r="BN27" s="21" t="str">
        <f t="shared" si="23"/>
        <v> ---</v>
      </c>
      <c r="BO27" s="27" t="str">
        <f t="shared" si="24"/>
        <v>---</v>
      </c>
      <c r="BP27" s="235">
        <f t="shared" si="25"/>
        <v>0.017453292519943295</v>
      </c>
      <c r="BQ27" s="235">
        <f t="shared" si="26"/>
        <v>0.5773502691896257</v>
      </c>
      <c r="BR27" s="235">
        <f t="shared" si="27"/>
        <v>0</v>
      </c>
      <c r="BS27" s="204" t="s">
        <v>1</v>
      </c>
      <c r="BT27" s="193">
        <f t="shared" si="45"/>
        <v>15</v>
      </c>
      <c r="BU27" s="243">
        <f t="shared" si="44"/>
        <v>0</v>
      </c>
      <c r="BV27" s="243">
        <f t="shared" si="28"/>
        <v>0</v>
      </c>
      <c r="BW27" s="244">
        <f t="shared" si="29"/>
        <v>1</v>
      </c>
      <c r="BX27" s="244">
        <f t="shared" si="30"/>
        <v>1</v>
      </c>
      <c r="BY27" s="245">
        <f t="shared" si="31"/>
        <v>0.7500000000000001</v>
      </c>
      <c r="BZ27" s="244">
        <f t="shared" si="32"/>
        <v>1</v>
      </c>
      <c r="CA27" s="244">
        <f t="shared" si="33"/>
        <v>1</v>
      </c>
      <c r="CB27" s="244">
        <f t="shared" si="34"/>
        <v>0</v>
      </c>
      <c r="CC27" s="162">
        <f t="shared" si="35"/>
        <v>0.4999999999999999</v>
      </c>
      <c r="CD27" s="162">
        <f t="shared" si="36"/>
        <v>0.5000000000000001</v>
      </c>
      <c r="CE27" s="162">
        <f t="shared" si="37"/>
        <v>1.5</v>
      </c>
      <c r="CF27" s="246">
        <f t="shared" si="38"/>
        <v>0.3333333333333334</v>
      </c>
      <c r="CG27" s="162">
        <f t="shared" si="39"/>
        <v>0.4999999999999999</v>
      </c>
      <c r="CH27" s="162">
        <f t="shared" si="40"/>
        <v>0.5000000000000001</v>
      </c>
      <c r="CI27" s="162">
        <f t="shared" si="41"/>
        <v>1.5</v>
      </c>
      <c r="CJ27" s="246">
        <f t="shared" si="42"/>
        <v>0.3333333333333334</v>
      </c>
    </row>
    <row r="28" spans="1:88" ht="18">
      <c r="A28" s="45" t="s">
        <v>61</v>
      </c>
      <c r="B28" s="271">
        <v>19</v>
      </c>
      <c r="C28" s="10">
        <f t="shared" si="0"/>
        <v>44</v>
      </c>
      <c r="D28" s="150">
        <f>'INPUT AND RESULTS'!D28</f>
        <v>42</v>
      </c>
      <c r="E28" s="150">
        <f>'INPUT AND RESULTS'!E28</f>
        <v>2</v>
      </c>
      <c r="F28" s="150">
        <f>'INPUT AND RESULTS'!F28</f>
        <v>31</v>
      </c>
      <c r="G28" s="9">
        <f t="shared" si="1"/>
        <v>4.020712809917355</v>
      </c>
      <c r="H28" s="9">
        <f t="shared" si="2"/>
        <v>0.4974242365848331</v>
      </c>
      <c r="I28" s="9">
        <f t="shared" si="3"/>
        <v>2.196555342325985</v>
      </c>
      <c r="J28" s="9">
        <f t="shared" si="43"/>
        <v>1.3646371274183833</v>
      </c>
      <c r="K28" s="150">
        <f>'INPUT AND RESULTS'!L28</f>
        <v>0</v>
      </c>
      <c r="L28" s="43">
        <f>'INPUT AND RESULTS'!M28</f>
        <v>200</v>
      </c>
      <c r="M28" s="151">
        <f>'INPUT AND RESULTS'!N28</f>
        <v>0</v>
      </c>
      <c r="N28" s="151">
        <f>'INPUT AND RESULTS'!O28</f>
        <v>1</v>
      </c>
      <c r="O28" s="150">
        <f>'INPUT AND RESULTS'!P28</f>
        <v>0</v>
      </c>
      <c r="P28" s="150">
        <f>'INPUT AND RESULTS'!Q28</f>
        <v>105</v>
      </c>
      <c r="Q28" s="150">
        <f>'INPUT AND RESULTS'!R28</f>
        <v>105</v>
      </c>
      <c r="R28" s="150">
        <f>'INPUT AND RESULTS'!S28</f>
        <v>30</v>
      </c>
      <c r="S28" s="150">
        <f>'INPUT AND RESULTS'!T28</f>
        <v>0</v>
      </c>
      <c r="T28" s="150">
        <f>'INPUT AND RESULTS'!U28</f>
        <v>105</v>
      </c>
      <c r="U28" s="150">
        <f>'INPUT AND RESULTS'!V28</f>
        <v>30</v>
      </c>
      <c r="V28" s="150">
        <f>'INPUT AND RESULTS'!W28</f>
        <v>0</v>
      </c>
      <c r="W28" s="150">
        <f>'INPUT AND RESULTS'!X28</f>
        <v>30</v>
      </c>
      <c r="X28" s="150">
        <f>'INPUT AND RESULTS'!Y28</f>
        <v>90</v>
      </c>
      <c r="Y28" s="150" t="str">
        <f>'INPUT AND RESULTS'!Z28</f>
        <v>I</v>
      </c>
      <c r="Z28" s="150">
        <f>'INPUT AND RESULTS'!AA28</f>
        <v>250</v>
      </c>
      <c r="AA28" s="150">
        <f>'INPUT AND RESULTS'!AB28</f>
        <v>250</v>
      </c>
      <c r="AB28" s="47" t="s">
        <v>61</v>
      </c>
      <c r="AC28" s="49">
        <f t="shared" si="4"/>
        <v>0.5</v>
      </c>
      <c r="AD28" s="272"/>
      <c r="AE28" s="272"/>
      <c r="AF28" s="146"/>
      <c r="AG28" s="24">
        <f t="shared" si="5"/>
        <v>7592.8213721834045</v>
      </c>
      <c r="AH28" s="26">
        <f>V28*BG28*'Load and Resistance Factors'!$E$11+0.5*(F28-2*BD28)*T28*BI28*'Load and Resistance Factors'!$E$11*AC28+T28*E28*BH28*'Load and Resistance Factors'!$E$11</f>
        <v>10361.445946337268</v>
      </c>
      <c r="AI28" s="24">
        <v>0</v>
      </c>
      <c r="AJ28" s="21" t="str">
        <f t="shared" si="6"/>
        <v>---</v>
      </c>
      <c r="AK28" s="24">
        <f>(P28*C28*F28*'Load and Resistance Factors'!$B$8)</f>
        <v>193347</v>
      </c>
      <c r="AL28" s="24" t="str">
        <f>IF(K28=0,"---",IF(L28&gt;=F28,(0.5*P28*(AJ28-C28)*F28*'Load and Resistance Factors'!$B$8),(0.5*P28*(L28*(TAN(RADIANS(K28)))*L28*'Load and Resistance Factors'!$B$8))))</f>
        <v>---</v>
      </c>
      <c r="AM28" s="24" t="str">
        <f>IF(K28=0,"---",IF(L28&gt;=F28,"---",(P28*(L28*(TAN(RADIANS(K28))))*(F28-L28)*'Load and Resistance Factors'!$B$8)))</f>
        <v>---</v>
      </c>
      <c r="AN28" s="24">
        <v>0</v>
      </c>
      <c r="AO28" s="21">
        <f t="shared" si="7"/>
        <v>0</v>
      </c>
      <c r="AP28" s="24">
        <f t="shared" si="8"/>
        <v>33880</v>
      </c>
      <c r="AQ28" s="24" t="str">
        <f>IF(K28=0,"---",IF(L28&gt;=F28,AP28*M28*'Load and Resistance Factors'!$C$8,AP28*CB28*'Load and Resistance Factors'!$C$8))</f>
        <v>---</v>
      </c>
      <c r="AR28" s="24" t="str">
        <f>IF(K28=0,"---",IF(L28&gt;=F28,AP28*N28*'Load and Resistance Factors'!$C$8,AP28*BZ28*'Load and Resistance Factors'!$C$8))</f>
        <v>---</v>
      </c>
      <c r="AS28" s="24">
        <v>0</v>
      </c>
      <c r="AT28" s="24" t="str">
        <f>IF(K28=0,"---",IF(L28&gt;=F28,AS28*M28*'Load and Resistance Factors'!$E$6,AS28*CB28*'Load and Resistance Factors'!$E$6))</f>
        <v>---</v>
      </c>
      <c r="AU28" s="24" t="str">
        <f>IF(K28=0,"---",IF(L28&gt;=F28,AS28*N28*'Load and Resistance Factors'!$E$6,AS28*BZ28*'Load and Resistance Factors'!$E$6))</f>
        <v>---</v>
      </c>
      <c r="AV28" s="24">
        <f>IF(K28=0,(AP28*'Load and Resistance Factors'!$C$8+AS28*'Load and Resistance Factors'!$E$8),AR28+AU28)</f>
        <v>50820</v>
      </c>
      <c r="AW28" s="24">
        <f>IF(K28=0,'Load and Resistance Factors'!$E$10*(SUM(AK28:AM28)*(TAN(RADIANS(W28)))),'Load and Resistance Factors'!$E$10*((SUM(AK28:AM28)+AQ28)*(TAN(RADIANS(W28)))))</f>
        <v>111628.94249700656</v>
      </c>
      <c r="AX28" s="24">
        <f t="shared" si="9"/>
        <v>193347</v>
      </c>
      <c r="AY28" s="24">
        <f t="shared" si="10"/>
        <v>193347</v>
      </c>
      <c r="AZ28" s="24">
        <f t="shared" si="11"/>
        <v>2996878.5</v>
      </c>
      <c r="BA28" s="24">
        <f>IF(K28=0,AZ28+(Z28*F28*(F28/2)*'Load and Resistance Factors'!$D$7),IF(L28&gt;=F28,AZ28+(AN28*(F28/2)),AZ28+(AN28*(L28+((F28-L28)/2)))))</f>
        <v>3207097.25</v>
      </c>
      <c r="BB28" s="24">
        <f>IF(K28=0,(AP28*'Load and Resistance Factors'!$C$8*(C28/3))+(AS28*'Load and Resistance Factors'!$E$8*(C28/2)),IF(L28&gt;=F28,(AR28*(AJ28/3))+(AU28*(AJ28/2)),(AR28*(AJ28/3))+(AU28*(AJ28/2))))</f>
        <v>745360</v>
      </c>
      <c r="BC28" s="21">
        <f t="shared" si="12"/>
        <v>3.8550378335324567</v>
      </c>
      <c r="BD28" s="21">
        <f t="shared" si="13"/>
        <v>2.7677763296042865</v>
      </c>
      <c r="BE28" s="21">
        <f t="shared" si="14"/>
        <v>25.464447340791427</v>
      </c>
      <c r="BF28" s="21">
        <f t="shared" si="15"/>
        <v>7.75</v>
      </c>
      <c r="BG28" s="21">
        <f t="shared" si="16"/>
        <v>30.139627791519086</v>
      </c>
      <c r="BH28" s="21">
        <f t="shared" si="17"/>
        <v>18.401122218708668</v>
      </c>
      <c r="BI28" s="21">
        <f t="shared" si="18"/>
        <v>22.402486271104557</v>
      </c>
      <c r="BJ28" s="22">
        <f t="shared" si="19"/>
        <v>0</v>
      </c>
      <c r="BK28" s="23">
        <f t="shared" si="20"/>
        <v>0.3333333333333333</v>
      </c>
      <c r="BL28" s="4" t="str">
        <f t="shared" si="21"/>
        <v> ---</v>
      </c>
      <c r="BM28" s="25" t="str">
        <f t="shared" si="22"/>
        <v>  --</v>
      </c>
      <c r="BN28" s="21" t="str">
        <f t="shared" si="23"/>
        <v> ---</v>
      </c>
      <c r="BO28" s="27" t="str">
        <f t="shared" si="24"/>
        <v>---</v>
      </c>
      <c r="BP28" s="192">
        <f t="shared" si="25"/>
        <v>0.017453292519943295</v>
      </c>
      <c r="BQ28" s="192">
        <f t="shared" si="26"/>
        <v>0.5773502691896257</v>
      </c>
      <c r="BR28" s="192">
        <f t="shared" si="27"/>
        <v>0</v>
      </c>
      <c r="BS28" s="3" t="s">
        <v>1</v>
      </c>
      <c r="BT28" s="193">
        <f t="shared" si="45"/>
        <v>16</v>
      </c>
      <c r="BU28" s="243">
        <f t="shared" si="44"/>
        <v>0</v>
      </c>
      <c r="BV28" s="243">
        <f t="shared" si="28"/>
        <v>0</v>
      </c>
      <c r="BW28" s="244">
        <f t="shared" si="29"/>
        <v>1</v>
      </c>
      <c r="BX28" s="244">
        <f t="shared" si="30"/>
        <v>1</v>
      </c>
      <c r="BY28" s="245">
        <f t="shared" si="31"/>
        <v>0.7500000000000001</v>
      </c>
      <c r="BZ28" s="244">
        <f t="shared" si="32"/>
        <v>1</v>
      </c>
      <c r="CA28" s="244">
        <f t="shared" si="33"/>
        <v>1</v>
      </c>
      <c r="CB28" s="244">
        <f t="shared" si="34"/>
        <v>0</v>
      </c>
      <c r="CC28" s="162">
        <f t="shared" si="35"/>
        <v>0.4999999999999999</v>
      </c>
      <c r="CD28" s="162">
        <f t="shared" si="36"/>
        <v>0.5000000000000001</v>
      </c>
      <c r="CE28" s="162">
        <f t="shared" si="37"/>
        <v>1.5</v>
      </c>
      <c r="CF28" s="246">
        <f t="shared" si="38"/>
        <v>0.3333333333333334</v>
      </c>
      <c r="CG28" s="162">
        <f t="shared" si="39"/>
        <v>0.4999999999999999</v>
      </c>
      <c r="CH28" s="162">
        <f t="shared" si="40"/>
        <v>0.5000000000000001</v>
      </c>
      <c r="CI28" s="162">
        <f t="shared" si="41"/>
        <v>1.5</v>
      </c>
      <c r="CJ28" s="246">
        <f t="shared" si="42"/>
        <v>0.3333333333333334</v>
      </c>
    </row>
    <row r="29" spans="1:88" ht="18">
      <c r="A29" s="45" t="s">
        <v>61</v>
      </c>
      <c r="B29" s="271">
        <v>20</v>
      </c>
      <c r="C29" s="10">
        <f t="shared" si="0"/>
        <v>46</v>
      </c>
      <c r="D29" s="150">
        <f>'INPUT AND RESULTS'!D29</f>
        <v>44</v>
      </c>
      <c r="E29" s="150">
        <f>'INPUT AND RESULTS'!E29</f>
        <v>2</v>
      </c>
      <c r="F29" s="150">
        <f>'INPUT AND RESULTS'!F29</f>
        <v>33</v>
      </c>
      <c r="G29" s="9">
        <f t="shared" si="1"/>
        <v>4.168667296786389</v>
      </c>
      <c r="H29" s="9">
        <f t="shared" si="2"/>
        <v>0.4797696380187963</v>
      </c>
      <c r="I29" s="9">
        <f t="shared" si="3"/>
        <v>2.236604738469376</v>
      </c>
      <c r="J29" s="9">
        <f t="shared" si="43"/>
        <v>1.3897191746231434</v>
      </c>
      <c r="K29" s="150">
        <f>'INPUT AND RESULTS'!L29</f>
        <v>0</v>
      </c>
      <c r="L29" s="43">
        <f>'INPUT AND RESULTS'!M29</f>
        <v>200</v>
      </c>
      <c r="M29" s="151">
        <f>'INPUT AND RESULTS'!N29</f>
        <v>0</v>
      </c>
      <c r="N29" s="151">
        <f>'INPUT AND RESULTS'!O29</f>
        <v>1</v>
      </c>
      <c r="O29" s="150">
        <f>'INPUT AND RESULTS'!P29</f>
        <v>0</v>
      </c>
      <c r="P29" s="150">
        <f>'INPUT AND RESULTS'!Q29</f>
        <v>105</v>
      </c>
      <c r="Q29" s="150">
        <f>'INPUT AND RESULTS'!R29</f>
        <v>105</v>
      </c>
      <c r="R29" s="150">
        <f>'INPUT AND RESULTS'!S29</f>
        <v>30</v>
      </c>
      <c r="S29" s="150">
        <f>'INPUT AND RESULTS'!T29</f>
        <v>0</v>
      </c>
      <c r="T29" s="150">
        <f>'INPUT AND RESULTS'!U29</f>
        <v>105</v>
      </c>
      <c r="U29" s="150">
        <f>'INPUT AND RESULTS'!V29</f>
        <v>30</v>
      </c>
      <c r="V29" s="150">
        <f>'INPUT AND RESULTS'!W29</f>
        <v>0</v>
      </c>
      <c r="W29" s="150">
        <f>'INPUT AND RESULTS'!X29</f>
        <v>30</v>
      </c>
      <c r="X29" s="150">
        <f>'INPUT AND RESULTS'!Y29</f>
        <v>90</v>
      </c>
      <c r="Y29" s="150" t="str">
        <f>'INPUT AND RESULTS'!Z29</f>
        <v>I</v>
      </c>
      <c r="Z29" s="150">
        <f>'INPUT AND RESULTS'!AA29</f>
        <v>250</v>
      </c>
      <c r="AA29" s="150">
        <f>'INPUT AND RESULTS'!AB29</f>
        <v>250</v>
      </c>
      <c r="AB29" s="47" t="s">
        <v>61</v>
      </c>
      <c r="AC29" s="49">
        <f t="shared" si="4"/>
        <v>0.5</v>
      </c>
      <c r="AD29" s="272"/>
      <c r="AE29" s="272"/>
      <c r="AF29" s="146"/>
      <c r="AG29" s="24">
        <f t="shared" si="5"/>
        <v>7882.508731406249</v>
      </c>
      <c r="AH29" s="26">
        <f>V29*BG29*'Load and Resistance Factors'!$E$11+0.5*(F29-2*BD29)*T29*BI29*'Load and Resistance Factors'!$E$11*AC29+T29*E29*BH29*'Load and Resistance Factors'!$E$11</f>
        <v>10954.473528169614</v>
      </c>
      <c r="AI29" s="24">
        <v>0</v>
      </c>
      <c r="AJ29" s="21" t="str">
        <f t="shared" si="6"/>
        <v>---</v>
      </c>
      <c r="AK29" s="24">
        <f>(P29*C29*F29*'Load and Resistance Factors'!$B$8)</f>
        <v>215176.5</v>
      </c>
      <c r="AL29" s="24" t="str">
        <f>IF(K29=0,"---",IF(L29&gt;=F29,(0.5*P29*(AJ29-C29)*F29*'Load and Resistance Factors'!$B$8),(0.5*P29*(L29*(TAN(RADIANS(K29)))*L29*'Load and Resistance Factors'!$B$8))))</f>
        <v>---</v>
      </c>
      <c r="AM29" s="24" t="str">
        <f>IF(K29=0,"---",IF(L29&gt;=F29,"---",(P29*(L29*(TAN(RADIANS(K29))))*(F29-L29)*'Load and Resistance Factors'!$B$8)))</f>
        <v>---</v>
      </c>
      <c r="AN29" s="24">
        <v>0</v>
      </c>
      <c r="AO29" s="21">
        <f t="shared" si="7"/>
        <v>0</v>
      </c>
      <c r="AP29" s="24">
        <f t="shared" si="8"/>
        <v>37030</v>
      </c>
      <c r="AQ29" s="24" t="str">
        <f>IF(K29=0,"---",IF(L29&gt;=F29,AP29*M29*'Load and Resistance Factors'!$C$8,AP29*CB29*'Load and Resistance Factors'!$C$8))</f>
        <v>---</v>
      </c>
      <c r="AR29" s="24" t="str">
        <f>IF(K29=0,"---",IF(L29&gt;=F29,AP29*N29*'Load and Resistance Factors'!$C$8,AP29*BZ29*'Load and Resistance Factors'!$C$8))</f>
        <v>---</v>
      </c>
      <c r="AS29" s="24">
        <v>0</v>
      </c>
      <c r="AT29" s="24" t="str">
        <f>IF(K29=0,"---",IF(L29&gt;=F29,AS29*M29*'Load and Resistance Factors'!$E$6,AS29*CB29*'Load and Resistance Factors'!$E$6))</f>
        <v>---</v>
      </c>
      <c r="AU29" s="24" t="str">
        <f>IF(K29=0,"---",IF(L29&gt;=F29,AS29*N29*'Load and Resistance Factors'!$E$6,AS29*BZ29*'Load and Resistance Factors'!$E$6))</f>
        <v>---</v>
      </c>
      <c r="AV29" s="24">
        <f>IF(K29=0,(AP29*'Load and Resistance Factors'!$C$8+AS29*'Load and Resistance Factors'!$E$8),AR29+AU29)</f>
        <v>55545</v>
      </c>
      <c r="AW29" s="24">
        <f>IF(K29=0,'Load and Resistance Factors'!$E$10*(SUM(AK29:AM29)*(TAN(RADIANS(W29)))),'Load and Resistance Factors'!$E$10*((SUM(AK29:AM29)+AQ29)*(TAN(RADIANS(W29)))))</f>
        <v>124232.21019828151</v>
      </c>
      <c r="AX29" s="24">
        <f t="shared" si="9"/>
        <v>215176.5</v>
      </c>
      <c r="AY29" s="24">
        <f t="shared" si="10"/>
        <v>215176.5</v>
      </c>
      <c r="AZ29" s="24">
        <f t="shared" si="11"/>
        <v>3550412.25</v>
      </c>
      <c r="BA29" s="24">
        <f>IF(K29=0,AZ29+(Z29*F29*(F29/2)*'Load and Resistance Factors'!$D$7),IF(L29&gt;=F29,AZ29+(AN29*(F29/2)),AZ29+(AN29*(L29+((F29-L29)/2)))))</f>
        <v>3788631</v>
      </c>
      <c r="BB29" s="24">
        <f>IF(K29=0,(AP29*'Load and Resistance Factors'!$C$8*(C29/3))+(AS29*'Load and Resistance Factors'!$E$8*(C29/2)),IF(L29&gt;=F29,(AR29*(AJ29/3))+(AU29*(AJ29/2)),(AR29*(AJ29/3))+(AU29*(AJ29/2))))</f>
        <v>851690</v>
      </c>
      <c r="BC29" s="21">
        <f t="shared" si="12"/>
        <v>3.9580995136550694</v>
      </c>
      <c r="BD29" s="21">
        <f t="shared" si="13"/>
        <v>2.8510141674392884</v>
      </c>
      <c r="BE29" s="21">
        <f t="shared" si="14"/>
        <v>27.297971665121423</v>
      </c>
      <c r="BF29" s="21">
        <f t="shared" si="15"/>
        <v>8.25</v>
      </c>
      <c r="BG29" s="21">
        <f t="shared" si="16"/>
        <v>30.139627791519086</v>
      </c>
      <c r="BH29" s="21">
        <f t="shared" si="17"/>
        <v>18.401122218708668</v>
      </c>
      <c r="BI29" s="21">
        <f t="shared" si="18"/>
        <v>22.402486271104557</v>
      </c>
      <c r="BJ29" s="22">
        <f t="shared" si="19"/>
        <v>0</v>
      </c>
      <c r="BK29" s="23">
        <f t="shared" si="20"/>
        <v>0.3333333333333333</v>
      </c>
      <c r="BL29" s="4" t="str">
        <f t="shared" si="21"/>
        <v> ---</v>
      </c>
      <c r="BM29" s="25" t="str">
        <f t="shared" si="22"/>
        <v>  --</v>
      </c>
      <c r="BN29" s="21" t="str">
        <f t="shared" si="23"/>
        <v> ---</v>
      </c>
      <c r="BO29" s="27" t="str">
        <f t="shared" si="24"/>
        <v>---</v>
      </c>
      <c r="BP29" s="235">
        <f t="shared" si="25"/>
        <v>0.017453292519943295</v>
      </c>
      <c r="BQ29" s="235">
        <f t="shared" si="26"/>
        <v>0.5773502691896257</v>
      </c>
      <c r="BR29" s="235">
        <f t="shared" si="27"/>
        <v>0</v>
      </c>
      <c r="BS29" s="204" t="s">
        <v>1</v>
      </c>
      <c r="BT29" s="193">
        <f t="shared" si="45"/>
        <v>17</v>
      </c>
      <c r="BU29" s="243">
        <f t="shared" si="44"/>
        <v>0</v>
      </c>
      <c r="BV29" s="243">
        <f t="shared" si="28"/>
        <v>0</v>
      </c>
      <c r="BW29" s="244">
        <f t="shared" si="29"/>
        <v>1</v>
      </c>
      <c r="BX29" s="244">
        <f t="shared" si="30"/>
        <v>1</v>
      </c>
      <c r="BY29" s="245">
        <f t="shared" si="31"/>
        <v>0.7500000000000001</v>
      </c>
      <c r="BZ29" s="244">
        <f t="shared" si="32"/>
        <v>1</v>
      </c>
      <c r="CA29" s="244">
        <f t="shared" si="33"/>
        <v>1</v>
      </c>
      <c r="CB29" s="244">
        <f t="shared" si="34"/>
        <v>0</v>
      </c>
      <c r="CC29" s="162">
        <f t="shared" si="35"/>
        <v>0.4999999999999999</v>
      </c>
      <c r="CD29" s="162">
        <f t="shared" si="36"/>
        <v>0.5000000000000001</v>
      </c>
      <c r="CE29" s="162">
        <f t="shared" si="37"/>
        <v>1.5</v>
      </c>
      <c r="CF29" s="246">
        <f t="shared" si="38"/>
        <v>0.3333333333333334</v>
      </c>
      <c r="CG29" s="162">
        <f t="shared" si="39"/>
        <v>0.4999999999999999</v>
      </c>
      <c r="CH29" s="162">
        <f t="shared" si="40"/>
        <v>0.5000000000000001</v>
      </c>
      <c r="CI29" s="162">
        <f t="shared" si="41"/>
        <v>1.5</v>
      </c>
      <c r="CJ29" s="246">
        <f t="shared" si="42"/>
        <v>0.3333333333333334</v>
      </c>
    </row>
    <row r="30" spans="1:88" ht="18">
      <c r="A30" s="45" t="s">
        <v>61</v>
      </c>
      <c r="B30" s="271">
        <v>21</v>
      </c>
      <c r="C30" s="10">
        <f t="shared" si="0"/>
        <v>48</v>
      </c>
      <c r="D30" s="150">
        <f>'INPUT AND RESULTS'!D30</f>
        <v>46</v>
      </c>
      <c r="E30" s="150">
        <f>'INPUT AND RESULTS'!E30</f>
        <v>2</v>
      </c>
      <c r="F30" s="150">
        <f>'INPUT AND RESULTS'!F30</f>
        <v>34</v>
      </c>
      <c r="G30" s="9">
        <f t="shared" si="1"/>
        <v>4.0640625</v>
      </c>
      <c r="H30" s="9">
        <f t="shared" si="2"/>
        <v>0.4921184159938484</v>
      </c>
      <c r="I30" s="9">
        <f t="shared" si="3"/>
        <v>2.208364779650319</v>
      </c>
      <c r="J30" s="9">
        <f t="shared" si="43"/>
        <v>1.3376850135978933</v>
      </c>
      <c r="K30" s="150">
        <f>'INPUT AND RESULTS'!L30</f>
        <v>0</v>
      </c>
      <c r="L30" s="43">
        <f>'INPUT AND RESULTS'!M30</f>
        <v>200</v>
      </c>
      <c r="M30" s="151">
        <f>'INPUT AND RESULTS'!N30</f>
        <v>0</v>
      </c>
      <c r="N30" s="151">
        <f>'INPUT AND RESULTS'!O30</f>
        <v>1</v>
      </c>
      <c r="O30" s="150">
        <f>'INPUT AND RESULTS'!P30</f>
        <v>0</v>
      </c>
      <c r="P30" s="150">
        <f>'INPUT AND RESULTS'!Q30</f>
        <v>105</v>
      </c>
      <c r="Q30" s="150">
        <f>'INPUT AND RESULTS'!R30</f>
        <v>105</v>
      </c>
      <c r="R30" s="150">
        <f>'INPUT AND RESULTS'!S30</f>
        <v>30</v>
      </c>
      <c r="S30" s="150">
        <f>'INPUT AND RESULTS'!T30</f>
        <v>0</v>
      </c>
      <c r="T30" s="150">
        <f>'INPUT AND RESULTS'!U30</f>
        <v>105</v>
      </c>
      <c r="U30" s="150">
        <f>'INPUT AND RESULTS'!V30</f>
        <v>30</v>
      </c>
      <c r="V30" s="150">
        <f>'INPUT AND RESULTS'!W30</f>
        <v>0</v>
      </c>
      <c r="W30" s="150">
        <f>'INPUT AND RESULTS'!X30</f>
        <v>30</v>
      </c>
      <c r="X30" s="150">
        <f>'INPUT AND RESULTS'!Y30</f>
        <v>90</v>
      </c>
      <c r="Y30" s="150" t="str">
        <f>'INPUT AND RESULTS'!Z30</f>
        <v>I</v>
      </c>
      <c r="Z30" s="150">
        <f>'INPUT AND RESULTS'!AA30</f>
        <v>250</v>
      </c>
      <c r="AA30" s="150">
        <f>'INPUT AND RESULTS'!AB30</f>
        <v>250</v>
      </c>
      <c r="AB30" s="47" t="s">
        <v>61</v>
      </c>
      <c r="AC30" s="49">
        <f t="shared" si="4"/>
        <v>0.5</v>
      </c>
      <c r="AD30" s="272"/>
      <c r="AE30" s="272"/>
      <c r="AG30" s="24">
        <f t="shared" si="5"/>
        <v>8315.396451171524</v>
      </c>
      <c r="AH30" s="26">
        <f>V30*BG30*'Load and Resistance Factors'!$E$11+0.5*(F30-2*BD30)*T30*BI30*'Load and Resistance Factors'!$E$11*AC30+T30*E30*BH30*'Load and Resistance Factors'!$E$11</f>
        <v>11123.381214857254</v>
      </c>
      <c r="AI30" s="24">
        <v>0</v>
      </c>
      <c r="AJ30" s="21" t="str">
        <f t="shared" si="6"/>
        <v>---</v>
      </c>
      <c r="AK30" s="24">
        <f>(P30*C30*F30*'Load and Resistance Factors'!$B$8)</f>
        <v>231336.00000000003</v>
      </c>
      <c r="AL30" s="24" t="str">
        <f>IF(K30=0,"---",IF(L30&gt;=F30,(0.5*P30*(AJ30-C30)*F30*'Load and Resistance Factors'!$B$8),(0.5*P30*(L30*(TAN(RADIANS(K30)))*L30*'Load and Resistance Factors'!$B$8))))</f>
        <v>---</v>
      </c>
      <c r="AM30" s="24" t="str">
        <f>IF(K30=0,"---",IF(L30&gt;=F30,"---",(P30*(L30*(TAN(RADIANS(K30))))*(F30-L30)*'Load and Resistance Factors'!$B$8)))</f>
        <v>---</v>
      </c>
      <c r="AN30" s="24">
        <v>0</v>
      </c>
      <c r="AO30" s="21">
        <f t="shared" si="7"/>
        <v>0</v>
      </c>
      <c r="AP30" s="24">
        <f t="shared" si="8"/>
        <v>40320</v>
      </c>
      <c r="AQ30" s="24" t="str">
        <f>IF(K30=0,"---",IF(L30&gt;=F30,AP30*M30*'Load and Resistance Factors'!$C$8,AP30*CB30*'Load and Resistance Factors'!$C$8))</f>
        <v>---</v>
      </c>
      <c r="AR30" s="24" t="str">
        <f>IF(K30=0,"---",IF(L30&gt;=F30,AP30*N30*'Load and Resistance Factors'!$C$8,AP30*BZ30*'Load and Resistance Factors'!$C$8))</f>
        <v>---</v>
      </c>
      <c r="AS30" s="24">
        <v>0</v>
      </c>
      <c r="AT30" s="24" t="str">
        <f>IF(K30=0,"---",IF(L30&gt;=F30,AS30*M30*'Load and Resistance Factors'!$E$6,AS30*CB30*'Load and Resistance Factors'!$E$6))</f>
        <v>---</v>
      </c>
      <c r="AU30" s="24" t="str">
        <f>IF(K30=0,"---",IF(L30&gt;=F30,AS30*N30*'Load and Resistance Factors'!$E$6,AS30*BZ30*'Load and Resistance Factors'!$E$6))</f>
        <v>---</v>
      </c>
      <c r="AV30" s="24">
        <f>IF(K30=0,(AP30*'Load and Resistance Factors'!$C$8+AS30*'Load and Resistance Factors'!$E$8),AR30+AU30)</f>
        <v>60480</v>
      </c>
      <c r="AW30" s="24">
        <f>IF(K30=0,'Load and Resistance Factors'!$E$10*(SUM(AK30:AM30)*(TAN(RADIANS(W30)))),'Load and Resistance Factors'!$E$10*((SUM(AK30:AM30)+AQ30)*(TAN(RADIANS(W30)))))</f>
        <v>133561.90187325128</v>
      </c>
      <c r="AX30" s="24">
        <f t="shared" si="9"/>
        <v>231336.00000000003</v>
      </c>
      <c r="AY30" s="24">
        <f t="shared" si="10"/>
        <v>231336.00000000003</v>
      </c>
      <c r="AZ30" s="24">
        <f t="shared" si="11"/>
        <v>3932712.0000000005</v>
      </c>
      <c r="BA30" s="24">
        <f>IF(K30=0,AZ30+(Z30*F30*(F30/2)*'Load and Resistance Factors'!$D$7),IF(L30&gt;=F30,AZ30+(AN30*(F30/2)),AZ30+(AN30*(L30+((F30-L30)/2)))))</f>
        <v>4185587.0000000005</v>
      </c>
      <c r="BB30" s="24">
        <f>IF(K30=0,(AP30*'Load and Resistance Factors'!$C$8*(C30/3))+(AS30*'Load and Resistance Factors'!$E$8*(C30/2)),IF(L30&gt;=F30,(AR30*(AJ30/3))+(AU30*(AJ30/2)),(AR30*(AJ30/3))+(AU30*(AJ30/2))))</f>
        <v>967680</v>
      </c>
      <c r="BC30" s="21">
        <f t="shared" si="12"/>
        <v>4.183006535947712</v>
      </c>
      <c r="BD30" s="21">
        <f t="shared" si="13"/>
        <v>3.089899540062939</v>
      </c>
      <c r="BE30" s="21">
        <f t="shared" si="14"/>
        <v>27.82020091987412</v>
      </c>
      <c r="BF30" s="21">
        <f t="shared" si="15"/>
        <v>8.5</v>
      </c>
      <c r="BG30" s="21">
        <f t="shared" si="16"/>
        <v>30.139627791519086</v>
      </c>
      <c r="BH30" s="21">
        <f t="shared" si="17"/>
        <v>18.401122218708668</v>
      </c>
      <c r="BI30" s="21">
        <f t="shared" si="18"/>
        <v>22.402486271104557</v>
      </c>
      <c r="BJ30" s="22">
        <f t="shared" si="19"/>
        <v>0</v>
      </c>
      <c r="BK30" s="23">
        <f t="shared" si="20"/>
        <v>0.3333333333333333</v>
      </c>
      <c r="BL30" s="4" t="str">
        <f t="shared" si="21"/>
        <v> ---</v>
      </c>
      <c r="BM30" s="25" t="str">
        <f t="shared" si="22"/>
        <v>  --</v>
      </c>
      <c r="BN30" s="21" t="str">
        <f t="shared" si="23"/>
        <v> ---</v>
      </c>
      <c r="BO30" s="27" t="str">
        <f t="shared" si="24"/>
        <v>---</v>
      </c>
      <c r="BP30" s="236">
        <f t="shared" si="25"/>
        <v>0.017453292519943295</v>
      </c>
      <c r="BQ30" s="236">
        <f t="shared" si="26"/>
        <v>0.5773502691896257</v>
      </c>
      <c r="BR30" s="236">
        <f t="shared" si="27"/>
        <v>0</v>
      </c>
      <c r="BS30" s="6" t="s">
        <v>1</v>
      </c>
      <c r="BT30" s="193">
        <f t="shared" si="45"/>
        <v>18</v>
      </c>
      <c r="BU30" s="243">
        <f t="shared" si="44"/>
        <v>0</v>
      </c>
      <c r="BV30" s="243">
        <f t="shared" si="28"/>
        <v>0</v>
      </c>
      <c r="BW30" s="244">
        <f t="shared" si="29"/>
        <v>1</v>
      </c>
      <c r="BX30" s="244">
        <f t="shared" si="30"/>
        <v>1</v>
      </c>
      <c r="BY30" s="245">
        <f t="shared" si="31"/>
        <v>0.7500000000000001</v>
      </c>
      <c r="BZ30" s="244">
        <f t="shared" si="32"/>
        <v>1</v>
      </c>
      <c r="CA30" s="244">
        <f t="shared" si="33"/>
        <v>1</v>
      </c>
      <c r="CB30" s="244">
        <f t="shared" si="34"/>
        <v>0</v>
      </c>
      <c r="CC30" s="162">
        <f t="shared" si="35"/>
        <v>0.4999999999999999</v>
      </c>
      <c r="CD30" s="162">
        <f t="shared" si="36"/>
        <v>0.5000000000000001</v>
      </c>
      <c r="CE30" s="162">
        <f t="shared" si="37"/>
        <v>1.5</v>
      </c>
      <c r="CF30" s="246">
        <f t="shared" si="38"/>
        <v>0.3333333333333334</v>
      </c>
      <c r="CG30" s="162">
        <f t="shared" si="39"/>
        <v>0.4999999999999999</v>
      </c>
      <c r="CH30" s="162">
        <f t="shared" si="40"/>
        <v>0.5000000000000001</v>
      </c>
      <c r="CI30" s="162">
        <f t="shared" si="41"/>
        <v>1.5</v>
      </c>
      <c r="CJ30" s="246">
        <f t="shared" si="42"/>
        <v>0.3333333333333334</v>
      </c>
    </row>
    <row r="31" spans="72:74" ht="12.75">
      <c r="BT31" s="193" t="e">
        <f>#REF!+1</f>
        <v>#REF!</v>
      </c>
      <c r="BU31" s="237"/>
      <c r="BV31" s="237"/>
    </row>
    <row r="32" spans="72:74" ht="12.75">
      <c r="BT32" s="193" t="e">
        <f aca="true" t="shared" si="46" ref="BT32:BT40">BT31+1</f>
        <v>#REF!</v>
      </c>
      <c r="BU32" s="237"/>
      <c r="BV32" s="237"/>
    </row>
    <row r="33" spans="72:74" ht="12.75">
      <c r="BT33" s="193" t="e">
        <f t="shared" si="46"/>
        <v>#REF!</v>
      </c>
      <c r="BU33" s="237"/>
      <c r="BV33" s="237"/>
    </row>
    <row r="34" spans="72:74" ht="12.75">
      <c r="BT34" s="193" t="e">
        <f t="shared" si="46"/>
        <v>#REF!</v>
      </c>
      <c r="BU34" s="237"/>
      <c r="BV34" s="237"/>
    </row>
    <row r="35" spans="72:74" ht="12.75">
      <c r="BT35" s="193" t="e">
        <f t="shared" si="46"/>
        <v>#REF!</v>
      </c>
      <c r="BU35" s="237"/>
      <c r="BV35" s="237"/>
    </row>
    <row r="36" spans="72:74" ht="12.75">
      <c r="BT36" s="193" t="e">
        <f t="shared" si="46"/>
        <v>#REF!</v>
      </c>
      <c r="BU36" s="237"/>
      <c r="BV36" s="237"/>
    </row>
    <row r="37" spans="72:74" ht="12.75">
      <c r="BT37" s="193" t="e">
        <f t="shared" si="46"/>
        <v>#REF!</v>
      </c>
      <c r="BU37" s="237"/>
      <c r="BV37" s="237"/>
    </row>
    <row r="38" spans="72:74" ht="12.75">
      <c r="BT38" s="193" t="e">
        <f t="shared" si="46"/>
        <v>#REF!</v>
      </c>
      <c r="BU38" s="237"/>
      <c r="BV38" s="237"/>
    </row>
    <row r="39" spans="72:74" ht="12.75">
      <c r="BT39" s="193" t="e">
        <f t="shared" si="46"/>
        <v>#REF!</v>
      </c>
      <c r="BU39" s="237"/>
      <c r="BV39" s="237"/>
    </row>
    <row r="40" spans="72:74" ht="12.75">
      <c r="BT40" s="193" t="e">
        <f t="shared" si="46"/>
        <v>#REF!</v>
      </c>
      <c r="BU40" s="237"/>
      <c r="BV40" s="237"/>
    </row>
    <row r="41" spans="72:74" ht="12.75">
      <c r="BT41" s="193" t="e">
        <f aca="true" t="shared" si="47" ref="BT41:BT55">BT40+1</f>
        <v>#REF!</v>
      </c>
      <c r="BU41" s="237"/>
      <c r="BV41" s="237"/>
    </row>
    <row r="42" spans="72:74" ht="12.75">
      <c r="BT42" s="193" t="e">
        <f t="shared" si="47"/>
        <v>#REF!</v>
      </c>
      <c r="BU42" s="237"/>
      <c r="BV42" s="237"/>
    </row>
    <row r="43" spans="72:74" ht="12.75">
      <c r="BT43" s="193" t="e">
        <f t="shared" si="47"/>
        <v>#REF!</v>
      </c>
      <c r="BU43" s="237"/>
      <c r="BV43" s="237"/>
    </row>
    <row r="44" spans="72:74" ht="12.75">
      <c r="BT44" s="193" t="e">
        <f t="shared" si="47"/>
        <v>#REF!</v>
      </c>
      <c r="BU44" s="237"/>
      <c r="BV44" s="237"/>
    </row>
    <row r="45" spans="72:74" ht="12.75">
      <c r="BT45" s="193" t="e">
        <f t="shared" si="47"/>
        <v>#REF!</v>
      </c>
      <c r="BU45" s="237"/>
      <c r="BV45" s="237"/>
    </row>
    <row r="46" spans="72:74" ht="12.75">
      <c r="BT46" s="193" t="e">
        <f t="shared" si="47"/>
        <v>#REF!</v>
      </c>
      <c r="BU46" s="237"/>
      <c r="BV46" s="237"/>
    </row>
    <row r="47" spans="72:74" ht="12.75">
      <c r="BT47" s="193" t="e">
        <f t="shared" si="47"/>
        <v>#REF!</v>
      </c>
      <c r="BU47" s="237"/>
      <c r="BV47" s="237"/>
    </row>
    <row r="48" spans="72:74" ht="12.75">
      <c r="BT48" s="193" t="e">
        <f t="shared" si="47"/>
        <v>#REF!</v>
      </c>
      <c r="BU48" s="237"/>
      <c r="BV48" s="237"/>
    </row>
    <row r="49" spans="72:74" ht="12.75">
      <c r="BT49" s="193" t="e">
        <f t="shared" si="47"/>
        <v>#REF!</v>
      </c>
      <c r="BU49" s="237"/>
      <c r="BV49" s="237"/>
    </row>
    <row r="50" spans="72:74" ht="12.75">
      <c r="BT50" s="193" t="e">
        <f t="shared" si="47"/>
        <v>#REF!</v>
      </c>
      <c r="BU50" s="237"/>
      <c r="BV50" s="237"/>
    </row>
    <row r="51" spans="72:74" ht="12.75">
      <c r="BT51" s="193" t="e">
        <f t="shared" si="47"/>
        <v>#REF!</v>
      </c>
      <c r="BU51" s="237"/>
      <c r="BV51" s="237"/>
    </row>
    <row r="52" spans="72:74" ht="12.75">
      <c r="BT52" s="193" t="e">
        <f t="shared" si="47"/>
        <v>#REF!</v>
      </c>
      <c r="BU52" s="237"/>
      <c r="BV52" s="237"/>
    </row>
    <row r="53" spans="72:74" ht="12.75">
      <c r="BT53" s="193" t="e">
        <f t="shared" si="47"/>
        <v>#REF!</v>
      </c>
      <c r="BU53" s="237"/>
      <c r="BV53" s="237"/>
    </row>
    <row r="54" spans="72:74" ht="12.75">
      <c r="BT54" s="193" t="e">
        <f t="shared" si="47"/>
        <v>#REF!</v>
      </c>
      <c r="BU54" s="237"/>
      <c r="BV54" s="237"/>
    </row>
    <row r="55" spans="72:74" ht="12.75">
      <c r="BT55" s="193" t="e">
        <f t="shared" si="47"/>
        <v>#REF!</v>
      </c>
      <c r="BU55" s="237"/>
      <c r="BV55" s="237"/>
    </row>
    <row r="56" spans="72:74" ht="12.75">
      <c r="BT56" s="237"/>
      <c r="BU56" s="237"/>
      <c r="BV56" s="237"/>
    </row>
  </sheetData>
  <sheetProtection password="E372" sheet="1" objects="1" scenarios="1"/>
  <mergeCells count="5">
    <mergeCell ref="AV2:BO2"/>
    <mergeCell ref="AV3:BO3"/>
    <mergeCell ref="AV4:BO4"/>
    <mergeCell ref="B2:AU2"/>
    <mergeCell ref="B3:AU3"/>
  </mergeCells>
  <printOptions horizontalCentered="1" verticalCentered="1"/>
  <pageMargins left="0.25" right="0.25" top="0.5" bottom="0.5" header="0.5" footer="0.5"/>
  <pageSetup horizontalDpi="1200" verticalDpi="1200" orientation="landscape" scale="59" r:id="rId4"/>
  <colBreaks count="1" manualBreakCount="1">
    <brk id="4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3" width="9.140625" style="47" customWidth="1"/>
    <col min="4" max="5" width="10.140625" style="47" bestFit="1" customWidth="1"/>
    <col min="6" max="16384" width="9.140625" style="47" customWidth="1"/>
  </cols>
  <sheetData>
    <row r="1" spans="1:5" ht="12.75">
      <c r="A1" s="280" t="s">
        <v>211</v>
      </c>
      <c r="B1" s="281"/>
      <c r="C1" s="281"/>
      <c r="D1" s="281"/>
      <c r="E1" s="282"/>
    </row>
    <row r="2" spans="1:7" ht="12.75">
      <c r="A2" s="153" t="s">
        <v>164</v>
      </c>
      <c r="B2" s="154" t="s">
        <v>165</v>
      </c>
      <c r="C2" s="155" t="s">
        <v>172</v>
      </c>
      <c r="D2" s="154" t="s">
        <v>167</v>
      </c>
      <c r="E2" s="156" t="s">
        <v>167</v>
      </c>
      <c r="F2" s="104"/>
      <c r="G2" s="104"/>
    </row>
    <row r="3" spans="1:7" ht="12.75">
      <c r="A3" s="157"/>
      <c r="B3" s="39" t="s">
        <v>166</v>
      </c>
      <c r="C3" s="84" t="s">
        <v>170</v>
      </c>
      <c r="D3" s="39" t="s">
        <v>168</v>
      </c>
      <c r="E3" s="158" t="s">
        <v>168</v>
      </c>
      <c r="F3" s="104"/>
      <c r="G3" s="104"/>
    </row>
    <row r="4" spans="1:7" ht="12.75">
      <c r="A4" s="157"/>
      <c r="B4" s="39"/>
      <c r="C4" s="84"/>
      <c r="D4" s="39" t="s">
        <v>166</v>
      </c>
      <c r="E4" s="158" t="s">
        <v>170</v>
      </c>
      <c r="F4" s="104"/>
      <c r="G4" s="104"/>
    </row>
    <row r="5" spans="1:7" ht="12.75">
      <c r="A5" s="159"/>
      <c r="B5" s="41" t="s">
        <v>173</v>
      </c>
      <c r="C5" s="90" t="s">
        <v>174</v>
      </c>
      <c r="D5" s="41" t="s">
        <v>169</v>
      </c>
      <c r="E5" s="160" t="s">
        <v>171</v>
      </c>
      <c r="F5" s="104"/>
      <c r="G5" s="104"/>
    </row>
    <row r="6" spans="1:7" ht="12.75">
      <c r="A6" s="161" t="s">
        <v>175</v>
      </c>
      <c r="B6" s="162">
        <v>1</v>
      </c>
      <c r="C6" s="162">
        <v>1.5</v>
      </c>
      <c r="D6" s="162">
        <v>1.75</v>
      </c>
      <c r="E6" s="163">
        <v>1.75</v>
      </c>
      <c r="F6" s="104"/>
      <c r="G6" s="104"/>
    </row>
    <row r="7" spans="1:7" ht="12.75">
      <c r="A7" s="161" t="s">
        <v>176</v>
      </c>
      <c r="B7" s="162">
        <v>1.35</v>
      </c>
      <c r="C7" s="162">
        <v>1.5</v>
      </c>
      <c r="D7" s="162">
        <v>1.75</v>
      </c>
      <c r="E7" s="163">
        <v>1.75</v>
      </c>
      <c r="F7" s="104"/>
      <c r="G7" s="104"/>
    </row>
    <row r="8" spans="1:7" ht="13.5" thickBot="1">
      <c r="A8" s="164" t="s">
        <v>177</v>
      </c>
      <c r="B8" s="165">
        <v>1.35</v>
      </c>
      <c r="C8" s="165">
        <v>1.5</v>
      </c>
      <c r="D8" s="166">
        <v>0</v>
      </c>
      <c r="E8" s="167">
        <v>0</v>
      </c>
      <c r="F8" s="104"/>
      <c r="G8" s="104"/>
    </row>
    <row r="9" spans="1:7" ht="12.75">
      <c r="A9" s="283" t="s">
        <v>267</v>
      </c>
      <c r="B9" s="284"/>
      <c r="C9" s="284"/>
      <c r="D9" s="284"/>
      <c r="E9" s="285"/>
      <c r="F9" s="104"/>
      <c r="G9" s="104"/>
    </row>
    <row r="10" spans="1:7" ht="12.75">
      <c r="A10" s="168" t="s">
        <v>196</v>
      </c>
      <c r="B10" s="169"/>
      <c r="C10" s="169"/>
      <c r="D10" s="170"/>
      <c r="E10" s="163">
        <v>1</v>
      </c>
      <c r="F10" s="104"/>
      <c r="G10" s="104"/>
    </row>
    <row r="11" spans="1:7" ht="13.5" thickBot="1">
      <c r="A11" s="171" t="s">
        <v>197</v>
      </c>
      <c r="B11" s="172"/>
      <c r="C11" s="172"/>
      <c r="D11" s="173"/>
      <c r="E11" s="174">
        <v>0.55</v>
      </c>
      <c r="F11" s="265" t="s">
        <v>299</v>
      </c>
      <c r="G11" s="104"/>
    </row>
    <row r="12" spans="1:7" ht="12.75">
      <c r="A12" s="104"/>
      <c r="B12" s="104"/>
      <c r="C12" s="104"/>
      <c r="D12" s="104"/>
      <c r="E12" s="104"/>
      <c r="F12" s="104"/>
      <c r="G12" s="104"/>
    </row>
    <row r="13" spans="1:7" ht="12.75">
      <c r="A13" s="104"/>
      <c r="B13" s="104"/>
      <c r="C13" s="104"/>
      <c r="D13" s="104"/>
      <c r="E13" s="104"/>
      <c r="F13" s="104"/>
      <c r="G13" s="104"/>
    </row>
    <row r="14" spans="1:7" ht="12.75">
      <c r="A14" s="104"/>
      <c r="B14" s="104"/>
      <c r="C14" s="104"/>
      <c r="D14" s="104"/>
      <c r="E14" s="104"/>
      <c r="F14" s="104"/>
      <c r="G14" s="104"/>
    </row>
    <row r="15" spans="1:7" ht="12.75">
      <c r="A15" s="104"/>
      <c r="B15" s="104"/>
      <c r="C15" s="104"/>
      <c r="D15" s="104"/>
      <c r="E15" s="104"/>
      <c r="F15" s="104"/>
      <c r="G15" s="104"/>
    </row>
    <row r="16" spans="1:7" ht="12.75">
      <c r="A16" s="104"/>
      <c r="B16" s="104"/>
      <c r="C16" s="104"/>
      <c r="D16" s="104"/>
      <c r="E16" s="104"/>
      <c r="F16" s="104"/>
      <c r="G16" s="104"/>
    </row>
    <row r="17" spans="1:7" ht="12.75">
      <c r="A17" s="104"/>
      <c r="B17" s="104"/>
      <c r="C17" s="104"/>
      <c r="D17" s="104"/>
      <c r="E17" s="104"/>
      <c r="F17" s="104"/>
      <c r="G17" s="104"/>
    </row>
    <row r="18" spans="1:7" ht="12.75">
      <c r="A18" s="104"/>
      <c r="B18" s="104"/>
      <c r="C18" s="104"/>
      <c r="D18" s="104"/>
      <c r="E18" s="104"/>
      <c r="F18" s="104"/>
      <c r="G18" s="104"/>
    </row>
    <row r="19" spans="1:7" ht="12.75">
      <c r="A19" s="104"/>
      <c r="B19" s="104"/>
      <c r="C19" s="104"/>
      <c r="D19" s="104"/>
      <c r="E19" s="104"/>
      <c r="F19" s="104"/>
      <c r="G19" s="104"/>
    </row>
    <row r="20" spans="1:7" ht="12.75">
      <c r="A20" s="104"/>
      <c r="B20" s="104"/>
      <c r="C20" s="104"/>
      <c r="D20" s="104"/>
      <c r="E20" s="104"/>
      <c r="F20" s="104"/>
      <c r="G20" s="104"/>
    </row>
    <row r="21" spans="1:7" ht="12.75">
      <c r="A21" s="104"/>
      <c r="B21" s="104"/>
      <c r="C21" s="104"/>
      <c r="D21" s="104"/>
      <c r="E21" s="104"/>
      <c r="F21" s="104"/>
      <c r="G21" s="104"/>
    </row>
    <row r="22" spans="1:7" ht="12.75">
      <c r="A22" s="104"/>
      <c r="B22" s="104"/>
      <c r="C22" s="104"/>
      <c r="D22" s="104"/>
      <c r="E22" s="104"/>
      <c r="F22" s="104"/>
      <c r="G22" s="104"/>
    </row>
    <row r="23" spans="1:7" ht="12.75">
      <c r="A23" s="104"/>
      <c r="B23" s="104"/>
      <c r="C23" s="104"/>
      <c r="D23" s="104"/>
      <c r="E23" s="104"/>
      <c r="F23" s="104"/>
      <c r="G23" s="104"/>
    </row>
    <row r="24" spans="1:7" ht="12.75">
      <c r="A24" s="104"/>
      <c r="B24" s="104"/>
      <c r="C24" s="104"/>
      <c r="D24" s="104"/>
      <c r="E24" s="104"/>
      <c r="F24" s="104"/>
      <c r="G24" s="104"/>
    </row>
    <row r="25" spans="1:7" ht="12.75">
      <c r="A25" s="104"/>
      <c r="B25" s="104"/>
      <c r="C25" s="104"/>
      <c r="D25" s="104"/>
      <c r="E25" s="104"/>
      <c r="F25" s="104"/>
      <c r="G25" s="104"/>
    </row>
    <row r="26" spans="1:7" ht="12.75">
      <c r="A26" s="104"/>
      <c r="B26" s="104"/>
      <c r="C26" s="104"/>
      <c r="D26" s="104"/>
      <c r="E26" s="104"/>
      <c r="F26" s="104"/>
      <c r="G26" s="104"/>
    </row>
    <row r="27" spans="1:7" ht="12.75">
      <c r="A27" s="104"/>
      <c r="B27" s="104"/>
      <c r="C27" s="104"/>
      <c r="D27" s="104"/>
      <c r="E27" s="104"/>
      <c r="F27" s="104"/>
      <c r="G27" s="104"/>
    </row>
    <row r="28" spans="1:7" ht="12.75">
      <c r="A28" s="104"/>
      <c r="B28" s="104"/>
      <c r="C28" s="104"/>
      <c r="D28" s="104"/>
      <c r="E28" s="104"/>
      <c r="F28" s="104"/>
      <c r="G28" s="104"/>
    </row>
    <row r="29" spans="1:7" ht="12.75">
      <c r="A29" s="104"/>
      <c r="B29" s="104"/>
      <c r="C29" s="104"/>
      <c r="D29" s="104"/>
      <c r="E29" s="104"/>
      <c r="F29" s="104"/>
      <c r="G29" s="104"/>
    </row>
    <row r="30" spans="1:7" ht="12.75">
      <c r="A30" s="104"/>
      <c r="B30" s="104"/>
      <c r="C30" s="104"/>
      <c r="D30" s="104"/>
      <c r="E30" s="104"/>
      <c r="F30" s="104"/>
      <c r="G30" s="104"/>
    </row>
    <row r="31" spans="1:7" ht="12.75">
      <c r="A31" s="104"/>
      <c r="B31" s="104"/>
      <c r="C31" s="104"/>
      <c r="D31" s="104"/>
      <c r="E31" s="104"/>
      <c r="F31" s="104"/>
      <c r="G31" s="104"/>
    </row>
    <row r="32" spans="1:7" ht="12.75">
      <c r="A32" s="104"/>
      <c r="B32" s="104"/>
      <c r="C32" s="104"/>
      <c r="D32" s="104"/>
      <c r="E32" s="104"/>
      <c r="F32" s="104"/>
      <c r="G32" s="104"/>
    </row>
    <row r="33" spans="1:7" ht="12.75">
      <c r="A33" s="104"/>
      <c r="B33" s="104"/>
      <c r="C33" s="104"/>
      <c r="D33" s="104"/>
      <c r="E33" s="104"/>
      <c r="F33" s="104"/>
      <c r="G33" s="104"/>
    </row>
    <row r="34" spans="1:7" ht="12.75">
      <c r="A34" s="104"/>
      <c r="B34" s="104"/>
      <c r="C34" s="104"/>
      <c r="D34" s="104"/>
      <c r="E34" s="104"/>
      <c r="F34" s="104"/>
      <c r="G34" s="104"/>
    </row>
    <row r="35" spans="1:7" ht="12.75">
      <c r="A35" s="104"/>
      <c r="B35" s="104"/>
      <c r="C35" s="104"/>
      <c r="D35" s="104"/>
      <c r="E35" s="104"/>
      <c r="F35" s="104"/>
      <c r="G35" s="104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5:7" ht="12.75">
      <c r="E45" s="175"/>
      <c r="F45" s="175"/>
      <c r="G45" s="175"/>
    </row>
    <row r="46" ht="12.75"/>
    <row r="47" ht="12.75"/>
    <row r="48" ht="12.75"/>
    <row r="49" ht="12.75"/>
    <row r="50" ht="12.75"/>
    <row r="51" ht="12.75"/>
    <row r="52" ht="12.75"/>
    <row r="54" spans="1:6" ht="12.75">
      <c r="A54" s="176" t="s">
        <v>268</v>
      </c>
      <c r="B54" s="175"/>
      <c r="C54" s="175"/>
      <c r="D54" s="175"/>
      <c r="E54" s="175"/>
      <c r="F54" s="175"/>
    </row>
    <row r="55" spans="1:6" ht="12.75">
      <c r="A55" s="175" t="s">
        <v>269</v>
      </c>
      <c r="B55" s="175"/>
      <c r="C55" s="175"/>
      <c r="D55" s="175"/>
      <c r="E55" s="175"/>
      <c r="F55" s="175"/>
    </row>
    <row r="56" spans="1:6" ht="12.75">
      <c r="A56" s="175"/>
      <c r="B56" s="177" t="s">
        <v>270</v>
      </c>
      <c r="C56" s="178"/>
      <c r="D56" s="179" t="s">
        <v>271</v>
      </c>
      <c r="E56" s="179" t="s">
        <v>272</v>
      </c>
      <c r="F56" s="175"/>
    </row>
    <row r="57" spans="1:6" ht="12.75">
      <c r="A57" s="175"/>
      <c r="B57" s="180" t="s">
        <v>273</v>
      </c>
      <c r="C57" s="181"/>
      <c r="D57" s="179" t="s">
        <v>274</v>
      </c>
      <c r="E57" s="179" t="s">
        <v>275</v>
      </c>
      <c r="F57" s="175"/>
    </row>
    <row r="58" spans="1:6" ht="12.75">
      <c r="A58" s="175"/>
      <c r="B58" s="177" t="s">
        <v>276</v>
      </c>
      <c r="C58" s="178"/>
      <c r="D58" s="179" t="s">
        <v>277</v>
      </c>
      <c r="E58" s="179" t="s">
        <v>181</v>
      </c>
      <c r="F58" s="175"/>
    </row>
    <row r="59" spans="1:6" ht="12.75">
      <c r="A59" s="175"/>
      <c r="B59" s="182" t="s">
        <v>278</v>
      </c>
      <c r="C59" s="183"/>
      <c r="D59" s="179" t="s">
        <v>279</v>
      </c>
      <c r="E59" s="179" t="s">
        <v>160</v>
      </c>
      <c r="F59" s="175"/>
    </row>
    <row r="60" spans="1:6" ht="15.75">
      <c r="A60" s="175" t="s">
        <v>280</v>
      </c>
      <c r="B60" s="175"/>
      <c r="C60" s="175"/>
      <c r="D60" s="184"/>
      <c r="E60" s="175"/>
      <c r="F60" s="175"/>
    </row>
    <row r="61" spans="1:6" ht="12.75">
      <c r="A61" s="175" t="s">
        <v>281</v>
      </c>
      <c r="B61" s="175"/>
      <c r="C61" s="184"/>
      <c r="D61" s="175"/>
      <c r="E61" s="175"/>
      <c r="F61" s="175"/>
    </row>
    <row r="62" spans="1:6" ht="15.75">
      <c r="A62" s="175" t="s">
        <v>282</v>
      </c>
      <c r="B62" s="175"/>
      <c r="C62" s="184"/>
      <c r="D62" s="175"/>
      <c r="E62" s="175"/>
      <c r="F62" s="175"/>
    </row>
    <row r="63" spans="1:6" ht="12.75">
      <c r="A63" s="175" t="s">
        <v>283</v>
      </c>
      <c r="B63" s="175"/>
      <c r="C63" s="184"/>
      <c r="D63" s="175"/>
      <c r="E63" s="175"/>
      <c r="F63" s="175"/>
    </row>
    <row r="64" spans="1:6" ht="12.75">
      <c r="A64" s="175" t="s">
        <v>284</v>
      </c>
      <c r="B64" s="175"/>
      <c r="C64" s="184"/>
      <c r="D64" s="175"/>
      <c r="E64" s="175"/>
      <c r="F64" s="175"/>
    </row>
    <row r="65" ht="12.75">
      <c r="C65" s="45"/>
    </row>
  </sheetData>
  <sheetProtection password="E372" sheet="1" objects="1" scenarios="1" selectLockedCells="1"/>
  <mergeCells count="2">
    <mergeCell ref="A1:E1"/>
    <mergeCell ref="A9:E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spans="1:13" ht="12.75">
      <c r="A1" s="251" t="s">
        <v>294</v>
      </c>
      <c r="B1" s="286" t="s">
        <v>295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</row>
    <row r="2" spans="1:13" ht="12.75">
      <c r="A2" s="251">
        <v>2.4</v>
      </c>
      <c r="B2" s="254" t="s">
        <v>297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1:13" ht="12.75">
      <c r="A3" s="251">
        <v>2.5</v>
      </c>
      <c r="B3" s="254" t="s">
        <v>302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6"/>
    </row>
    <row r="4" spans="1:13" ht="12.75">
      <c r="A4" s="257" t="s">
        <v>296</v>
      </c>
      <c r="B4" s="259" t="s">
        <v>298</v>
      </c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1"/>
    </row>
    <row r="5" spans="1:13" ht="12.75">
      <c r="A5" s="258"/>
      <c r="B5" s="262" t="s">
        <v>303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4"/>
    </row>
    <row r="6" ht="12.75">
      <c r="A6" s="250"/>
    </row>
    <row r="7" ht="12.75">
      <c r="A7" s="250"/>
    </row>
    <row r="8" ht="12.75">
      <c r="A8" s="250"/>
    </row>
    <row r="9" ht="12.75">
      <c r="A9" s="250"/>
    </row>
    <row r="10" ht="12.75">
      <c r="A10" s="250"/>
    </row>
    <row r="11" ht="12.75">
      <c r="A11" s="250"/>
    </row>
    <row r="12" ht="12.75">
      <c r="A12" s="250"/>
    </row>
    <row r="13" ht="12.75">
      <c r="A13" s="250"/>
    </row>
    <row r="14" ht="12.75">
      <c r="A14" s="250"/>
    </row>
    <row r="15" ht="12.75">
      <c r="A15" s="250"/>
    </row>
    <row r="16" ht="12.75">
      <c r="A16" s="250"/>
    </row>
    <row r="17" ht="12.75">
      <c r="A17" s="250"/>
    </row>
    <row r="18" ht="12.75">
      <c r="A18" s="250"/>
    </row>
    <row r="19" ht="12.75">
      <c r="A19" s="250"/>
    </row>
    <row r="20" ht="12.75">
      <c r="A20" s="250"/>
    </row>
    <row r="21" ht="12.75">
      <c r="A21" s="250"/>
    </row>
    <row r="22" ht="12.75">
      <c r="A22" s="250"/>
    </row>
    <row r="23" ht="12.75">
      <c r="A23" s="250"/>
    </row>
    <row r="24" ht="12.75">
      <c r="A24" s="250"/>
    </row>
    <row r="25" ht="12.75">
      <c r="A25" s="250"/>
    </row>
    <row r="26" ht="12.75">
      <c r="A26" s="250"/>
    </row>
    <row r="27" ht="12.75">
      <c r="A27" s="250"/>
    </row>
    <row r="28" ht="12.75">
      <c r="A28" s="250"/>
    </row>
    <row r="29" ht="12.75">
      <c r="A29" s="250"/>
    </row>
    <row r="30" ht="12.75">
      <c r="A30" s="250"/>
    </row>
    <row r="31" ht="12.75">
      <c r="A31" s="250"/>
    </row>
    <row r="32" ht="12.75">
      <c r="A32" s="250"/>
    </row>
    <row r="33" ht="12.75">
      <c r="A33" s="250"/>
    </row>
    <row r="34" ht="12.75">
      <c r="A34" s="250"/>
    </row>
    <row r="35" ht="12.75">
      <c r="A35" s="250"/>
    </row>
    <row r="36" ht="12.75">
      <c r="A36" s="250"/>
    </row>
    <row r="37" ht="12.75">
      <c r="A37" s="250"/>
    </row>
  </sheetData>
  <sheetProtection password="E372" sheet="1" selectLockedCells="1"/>
  <mergeCells count="1">
    <mergeCell ref="B1:M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Dist. 1</dc:creator>
  <cp:keywords/>
  <dc:description/>
  <cp:lastModifiedBy>st986rh</cp:lastModifiedBy>
  <cp:lastPrinted>2013-04-19T17:36:57Z</cp:lastPrinted>
  <dcterms:created xsi:type="dcterms:W3CDTF">2005-12-28T03:22:16Z</dcterms:created>
  <dcterms:modified xsi:type="dcterms:W3CDTF">2013-04-19T18:14:47Z</dcterms:modified>
  <cp:category/>
  <cp:version/>
  <cp:contentType/>
  <cp:contentStatus/>
</cp:coreProperties>
</file>